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420" windowHeight="7600" firstSheet="6" activeTab="6"/>
  </bookViews>
  <sheets>
    <sheet name="basic成本核算-人字拖" sheetId="2" state="hidden" r:id="rId1"/>
    <sheet name="basic项目实例-USB" sheetId="3" state="hidden" r:id="rId2"/>
    <sheet name="basic项目实例-V9" sheetId="4" state="hidden" r:id="rId3"/>
    <sheet name="To be filled by Nicole" sheetId="5" state="hidden" r:id="rId4"/>
    <sheet name="Sheet13" sheetId="6" state="hidden" r:id="rId5"/>
    <sheet name="To be filled by countries" sheetId="7" state="hidden" r:id="rId6"/>
    <sheet name="Formula" sheetId="8" r:id="rId7"/>
    <sheet name="raw-perf L4W" sheetId="10" state="hidden" r:id="rId8"/>
    <sheet name="visibility" sheetId="11" state="hidden" r:id="rId9"/>
    <sheet name="Formulas" sheetId="12" state="hidden" r:id="rId10"/>
    <sheet name="shipping cost calculated by kam" sheetId="16" state="hidden" r:id="rId11"/>
    <sheet name="for guixia" sheetId="17" state="hidden" r:id="rId12"/>
  </sheets>
  <definedNames>
    <definedName name="_xlnm._FilterDatabase" localSheetId="3" hidden="1">'To be filled by Nicole'!$A$3:$AN$48</definedName>
    <definedName name="Z_04185E0F_4644_4091_BAF8_80D1B8D1C3E6_.wvu.FilterData" localSheetId="3" hidden="1">'To be filled by Nicole'!$A$3:$AN$49</definedName>
    <definedName name="Z_0AD0DF2E_09A9_44A8_B344_E11F1360E105_.wvu.FilterData" localSheetId="3" hidden="1">'To be filled by Nicole'!$A$3:$AN$49</definedName>
    <definedName name="Z_0CF238E1_F5A4_43B2_9AC8_C5E7F0C0D2C0_.wvu.FilterData" localSheetId="3" hidden="1">'To be filled by Nicole'!$A$3:$AN$48</definedName>
    <definedName name="Z_1ADC77CC_5EB0_4A40_8A0C_145CE1AADF93_.wvu.FilterData" localSheetId="3" hidden="1">'To be filled by Nicole'!$A$3:$AN$48</definedName>
    <definedName name="Z_28C4D6C3_70D2_4DAD_97EF_ED863CBD526C_.wvu.FilterData" localSheetId="3" hidden="1">'To be filled by Nicole'!$A$3:$AN$48</definedName>
    <definedName name="Z_2C0F4595_6F03_42C7_A858_C6FA95C9611E_.wvu.FilterData" localSheetId="3" hidden="1">'To be filled by Nicole'!$A$3:$AN$48</definedName>
    <definedName name="Z_43751526_DCDC_4D9C_BE4E_D0EE87D386B8_.wvu.FilterData" localSheetId="3" hidden="1">'To be filled by Nicole'!$A$3:$AN$48</definedName>
    <definedName name="Z_61C8A3BE_9593_408F_8AD3_122CA6EC084B_.wvu.FilterData" localSheetId="3" hidden="1">'To be filled by Nicole'!$A$3:$AN$48</definedName>
    <definedName name="Z_6A0E0F38_A1F6_40BE_B6DD_85D29355AA8C_.wvu.FilterData" localSheetId="3" hidden="1">'To be filled by Nicole'!$A$3:$AN$1000</definedName>
    <definedName name="Z_7182B11B_E94B_4CD2_9193_2DC040B3B2B3_.wvu.FilterData" localSheetId="3" hidden="1">'To be filled by Nicole'!$A$3:$AN$1000</definedName>
    <definedName name="Z_72FEF15E_0C0C_4096_B809_E82B7585F99F_.wvu.FilterData" localSheetId="3" hidden="1">'To be filled by Nicole'!$A$3:$AN$48</definedName>
    <definedName name="Z_76EDA02D_FA66_4E8A_9B92_22211ACDD5DC_.wvu.FilterData" localSheetId="3" hidden="1">'To be filled by Nicole'!$A$3:$AN$48</definedName>
    <definedName name="Z_77A018F2_B0E4_4FCE_AA3A_4447C748BB5F_.wvu.FilterData" localSheetId="3" hidden="1">'To be filled by Nicole'!$A$3:$AN$48</definedName>
    <definedName name="Z_8439838F_02A6_468E_B65E_5AD6B77D7D39_.wvu.FilterData" localSheetId="3" hidden="1">'To be filled by Nicole'!$A$3:$AN$48</definedName>
    <definedName name="Z_95BCDF17_336B_4028_AB94_AFD594DB5F68_.wvu.FilterData" localSheetId="3" hidden="1">'To be filled by Nicole'!$A$3:$AN$48</definedName>
    <definedName name="Z_9FCE9048_0438_415B_AF80_1F0C361E96E2_.wvu.FilterData" localSheetId="3" hidden="1">'To be filled by Nicole'!$A$3:$AN$48</definedName>
    <definedName name="Z_A3E85292_E27C_43A2_AA6B_9253C0AD2A40_.wvu.FilterData" localSheetId="3" hidden="1">'To be filled by Nicole'!$A$3:$AN$23</definedName>
    <definedName name="Z_B0D1583C_C86D_41F0_91CB_36EE0DAA1110_.wvu.FilterData" localSheetId="3" hidden="1">'To be filled by Nicole'!$A$3:$AN$48</definedName>
    <definedName name="Z_B6FF4B25_3FA7_4D6C_BF4E_512D889A950E_.wvu.FilterData" localSheetId="3" hidden="1">'To be filled by Nicole'!$A$3:$AN$48</definedName>
    <definedName name="Z_C50B73CF_7CFD_407B_AA68_1A23CD4C7E59_.wvu.FilterData" localSheetId="3" hidden="1">'To be filled by Nicole'!$A$3:$AN$48</definedName>
    <definedName name="Z_C52A044B_27FB_4C3B_AFB9_7031125C0BFA_.wvu.FilterData" localSheetId="3" hidden="1">'To be filled by Nicole'!$A$3:$AN$48</definedName>
    <definedName name="Z_CC5F3D9F_2746_40DE_89FF_DD1852624670_.wvu.FilterData" localSheetId="3" hidden="1">'To be filled by Nicole'!$A$3:$AN$48</definedName>
    <definedName name="Z_E052C097_F092_4C23_BA81_86773E3DBA9D_.wvu.FilterData" localSheetId="3" hidden="1">'To be filled by Nicole'!$A$3:$AN$49</definedName>
  </definedNames>
  <calcPr calcId="191029"/>
  <customWorkbookViews>
    <customWorkbookView name="Filter 11" guid="{B6FF4B25-3FA7-4D6C-BF4E-512D889A950E}" maximized="1" windowWidth="0" windowHeight="0" activeSheetId="0"/>
    <customWorkbookView name="Filter 12" guid="{6A0E0F38-A1F6-40BE-B6DD-85D29355AA8C}" maximized="1" windowWidth="0" windowHeight="0" activeSheetId="0"/>
    <customWorkbookView name="Filter 13" guid="{7182B11B-E94B-4CD2-9193-2DC040B3B2B3}" maximized="1" windowWidth="0" windowHeight="0" activeSheetId="0"/>
    <customWorkbookView name="Filter 14" guid="{61C8A3BE-9593-408F-8AD3-122CA6EC084B}" maximized="1" windowWidth="0" windowHeight="0" activeSheetId="0"/>
    <customWorkbookView name="Filter 15" guid="{43751526-DCDC-4D9C-BE4E-D0EE87D386B8}" maximized="1" windowWidth="0" windowHeight="0" activeSheetId="0"/>
    <customWorkbookView name="Filter 16" guid="{A3E85292-E27C-43A2-AA6B-9253C0AD2A40}" maximized="1" windowWidth="0" windowHeight="0" activeSheetId="0"/>
    <customWorkbookView name="Filter 17" guid="{95BCDF17-336B-4028-AB94-AFD594DB5F68}" maximized="1" windowWidth="0" windowHeight="0" activeSheetId="0"/>
    <customWorkbookView name="Filter 18" guid="{28C4D6C3-70D2-4DAD-97EF-ED863CBD526C}" maximized="1" windowWidth="0" windowHeight="0" activeSheetId="0"/>
    <customWorkbookView name="John" guid="{D73560CB-CC61-40A1-B76F-0147C7C67A34}" maximized="1" windowWidth="0" windowHeight="0" activeSheetId="0"/>
    <customWorkbookView name="Filter 10" guid="{8439838F-02A6-468E-B65E-5AD6B77D7D39}" maximized="1" windowWidth="0" windowHeight="0" activeSheetId="0"/>
    <customWorkbookView name="Nicole" guid="{C50B73CF-7CFD-407B-AA68-1A23CD4C7E59}" maximized="1" windowWidth="0" windowHeight="0" activeSheetId="0"/>
    <customWorkbookView name="Filter 19" guid="{9FCE9048-0438-415B-AF80-1F0C361E96E2}" maximized="1" windowWidth="0" windowHeight="0" activeSheetId="0"/>
    <customWorkbookView name="Filter 22" guid="{B0D1583C-C86D-41F0-91CB-36EE0DAA1110}" maximized="1" windowWidth="0" windowHeight="0" activeSheetId="0"/>
    <customWorkbookView name="Filter 20" guid="{0CF238E1-F5A4-43B2-9AC8-C5E7F0C0D2C0}" maximized="1" windowWidth="0" windowHeight="0" activeSheetId="0"/>
    <customWorkbookView name="Filter 8" guid="{76EDA02D-FA66-4E8A-9B92-22211ACDD5DC}" maximized="1" windowWidth="0" windowHeight="0" activeSheetId="0"/>
    <customWorkbookView name="Filter 9" guid="{1ADC77CC-5EB0-4A40-8A0C-145CE1AADF93}" maximized="1" windowWidth="0" windowHeight="0" activeSheetId="0"/>
    <customWorkbookView name="Filter 21" guid="{77A018F2-B0E4-4FCE-AA3A-4447C748BB5F}" maximized="1" windowWidth="0" windowHeight="0" activeSheetId="0"/>
    <customWorkbookView name="Filter 6" guid="{CC5F3D9F-2746-40DE-89FF-DD1852624670}" maximized="1" windowWidth="0" windowHeight="0" activeSheetId="0"/>
    <customWorkbookView name="Filter 7" guid="{C52A044B-27FB-4C3B-AFB9-7031125C0BFA}" maximized="1" windowWidth="0" windowHeight="0" activeSheetId="0"/>
    <customWorkbookView name="Filter 4" guid="{72FEF15E-0C0C-4096-B809-E82B7585F99F}" maximized="1" windowWidth="0" windowHeight="0" activeSheetId="0"/>
    <customWorkbookView name="Filter 5" guid="{2C0F4595-6F03-42C7-A858-C6FA95C9611E}" maximized="1" windowWidth="0" windowHeight="0" activeSheetId="0"/>
    <customWorkbookView name="Filter 2" guid="{E052C097-F092-4C23-BA81-86773E3DBA9D}" maximized="1" windowWidth="0" windowHeight="0" activeSheetId="0"/>
    <customWorkbookView name="Filter 3" guid="{04185E0F-4644-4091-BAF8-80D1B8D1C3E6}" maximized="1" windowWidth="0" windowHeight="0" activeSheetId="0"/>
    <customWorkbookView name="Filter 1" guid="{0AD0DF2E-09A9-44A8-B344-E11F1360E105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/>
  </authors>
  <commentList>
    <comment ref="F26" authorId="0">
      <text>
        <r>
          <rPr>
            <sz val="10"/>
            <color rgb="FF000000"/>
            <rFont val="Arial"/>
            <scheme val="minor"/>
            <charset val="1"/>
          </rPr>
          <t>@stephen.liao@jumia.com don't forget to fill the data
_Assigned to stephen.liao@jumia.com_
	-John Hu</t>
        </r>
      </text>
    </comment>
    <comment ref="G26" authorId="0">
      <text>
        <r>
          <rPr>
            <sz val="10"/>
            <color rgb="FF000000"/>
            <rFont val="Arial"/>
            <scheme val="minor"/>
            <charset val="1"/>
          </rPr>
          <t>Itel, only NG at the moment, but they are fine
@nicole.liang@jumia.com
_Assigned to nicole.liang@jumia.com_
	-Stephen Liao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16" authorId="0">
      <text>
        <r>
          <rPr>
            <sz val="10"/>
            <color rgb="FF000000"/>
            <rFont val="Arial"/>
            <scheme val="minor"/>
            <charset val="1"/>
          </rPr>
          <t>@josie.zhao@jumia.com 
we missed the 3% commission rate from the agent here.
Meanwhile, SN is 5%
_Assigned to josie.zhao@jumia.com_
	-John Hu
hello John, YIYUNHUI FX rate for SN and IC are 640. my input for FX is 680.
	-Josie Zhao
It is due to Jumia current FX rate is high, once we reduce it to 650, then we will have risk here.
	-John Hu
pls confirm again if it's 5% or 0.8%
	-Josie Zhao</t>
        </r>
      </text>
    </comment>
  </commentList>
</comments>
</file>

<file path=xl/sharedStrings.xml><?xml version="1.0" encoding="utf-8"?>
<sst xmlns="http://schemas.openxmlformats.org/spreadsheetml/2006/main" count="1554" uniqueCount="519">
  <si>
    <t>Country</t>
  </si>
  <si>
    <t>NG</t>
  </si>
  <si>
    <t>Category Size</t>
  </si>
  <si>
    <t>Small</t>
  </si>
  <si>
    <t>Category</t>
  </si>
  <si>
    <t>Beauty</t>
  </si>
  <si>
    <t xml:space="preserve">Current cost </t>
  </si>
  <si>
    <t>Sequence</t>
  </si>
  <si>
    <t>Cost Breakdown Name</t>
  </si>
  <si>
    <t>Current USD</t>
  </si>
  <si>
    <t>Current Share %</t>
  </si>
  <si>
    <t>Purchase cost （USD)</t>
  </si>
  <si>
    <t>International logistic cost(Sea Freight)+ China domestic transportation cost</t>
  </si>
  <si>
    <t>FBJ inbound fee for 90 days (inbound processing+storage+outbound)</t>
  </si>
  <si>
    <t>Inbound processing with VAT</t>
  </si>
  <si>
    <t>Storage fee for XX days</t>
  </si>
  <si>
    <t>Outbound fee</t>
  </si>
  <si>
    <t>Basic Cost-USD</t>
  </si>
  <si>
    <t>Jumia commission</t>
  </si>
  <si>
    <t>Cost buffer (for returnes, lost, etc.)</t>
  </si>
  <si>
    <t>Final Item Cost_ USD</t>
  </si>
  <si>
    <t>Final Item Cost_ LCY</t>
  </si>
  <si>
    <t>Final Item Price_LCY</t>
  </si>
  <si>
    <t>Commission</t>
  </si>
  <si>
    <t>类目Categories</t>
  </si>
  <si>
    <t>佣金Commission直邮（DS）&amp;海外仓（FBJ）</t>
  </si>
  <si>
    <t>Mobile Phones</t>
  </si>
  <si>
    <t>TVs</t>
  </si>
  <si>
    <t>Small Appliance</t>
  </si>
  <si>
    <t xml:space="preserve">Inbound Fee </t>
  </si>
  <si>
    <t>Outbound Fee</t>
  </si>
  <si>
    <t>Storage Fee</t>
  </si>
  <si>
    <t>Large Appliance</t>
  </si>
  <si>
    <t>Computers</t>
  </si>
  <si>
    <t>Medium</t>
  </si>
  <si>
    <t>Cameras</t>
  </si>
  <si>
    <t>Large</t>
  </si>
  <si>
    <t>Tablets</t>
  </si>
  <si>
    <t>Mobile Accessories</t>
  </si>
  <si>
    <t>Electronic Accessories</t>
  </si>
  <si>
    <t>VAT</t>
  </si>
  <si>
    <t>FX</t>
  </si>
  <si>
    <t>Audio &amp;Hifi</t>
  </si>
  <si>
    <t>Video games</t>
  </si>
  <si>
    <t>EG</t>
  </si>
  <si>
    <t>Game consoles</t>
  </si>
  <si>
    <t>KE</t>
  </si>
  <si>
    <t>Home</t>
  </si>
  <si>
    <t>IC</t>
  </si>
  <si>
    <t>MA</t>
  </si>
  <si>
    <t>Fashion</t>
  </si>
  <si>
    <t>GH</t>
  </si>
  <si>
    <t>Grocery</t>
  </si>
  <si>
    <t>SN</t>
  </si>
  <si>
    <t>Desktops &amp;Peripherals</t>
  </si>
  <si>
    <t>UG</t>
  </si>
  <si>
    <t>Kids and Baby</t>
  </si>
  <si>
    <t>Other</t>
  </si>
  <si>
    <t xml:space="preserve">Return % :  5% in NG, and overall 4.2% </t>
  </si>
  <si>
    <t>Nicole to input</t>
  </si>
  <si>
    <t>KAM to input</t>
  </si>
  <si>
    <t>Cat 1</t>
  </si>
  <si>
    <t>Priority</t>
  </si>
  <si>
    <t>KAM name</t>
  </si>
  <si>
    <t>Status</t>
  </si>
  <si>
    <t>Supplier name</t>
  </si>
  <si>
    <t>Product name</t>
  </si>
  <si>
    <t>L12W IS (all countries)</t>
  </si>
  <si>
    <t>Countries in which the sku is currently sold</t>
  </si>
  <si>
    <t>Sku config per country
NG</t>
  </si>
  <si>
    <t>Sku config per country
KE</t>
  </si>
  <si>
    <t>"Sku config per country
CI</t>
  </si>
  <si>
    <t>Sku config per country
GH</t>
  </si>
  <si>
    <t>Sku config per country
UG</t>
  </si>
  <si>
    <t>Sku config per country
SN</t>
  </si>
  <si>
    <t>Comments</t>
  </si>
  <si>
    <t>Local supply price</t>
  </si>
  <si>
    <t>JG price</t>
  </si>
  <si>
    <t>Men's clothing</t>
  </si>
  <si>
    <t>P1</t>
  </si>
  <si>
    <t>Fiona</t>
  </si>
  <si>
    <t>Existing sku from old basics project</t>
  </si>
  <si>
    <t>yixing-cod</t>
  </si>
  <si>
    <t>Yixin 3 Pack Men's Summer Loose Short Sleeve T-shirt</t>
  </si>
  <si>
    <t>NG,KE,IC,GH</t>
  </si>
  <si>
    <t>YI880MW1RCF4JNAFAMZ</t>
  </si>
  <si>
    <t>YI840MW1F6SR6NAFAMZ</t>
  </si>
  <si>
    <t>YI159MW1BCKWGNAFAMZ</t>
  </si>
  <si>
    <t>YI279MW20C6Z2NAFAMZ</t>
  </si>
  <si>
    <t>Existing sku not from basics project</t>
  </si>
  <si>
    <t>berrykey-SEA-COD</t>
  </si>
  <si>
    <t>Mens Turtleneck Formal Long Sleeve Vintage Shirts - White</t>
  </si>
  <si>
    <t>NG,KE,IC,GH,SN</t>
  </si>
  <si>
    <t>FA203MW2R7EPANAFAMZ</t>
  </si>
  <si>
    <t>FA113MW0UQTOWNAFAMZ</t>
  </si>
  <si>
    <t>FA459MW0X2782NAFAMZ</t>
  </si>
  <si>
    <t>FA114MW13BG8KNAFAMZ</t>
  </si>
  <si>
    <t>FA590MW0GVDQPNAFAMZ</t>
  </si>
  <si>
    <t>P2</t>
  </si>
  <si>
    <t>Mens Trousers Casual Trendy Combat Chinos Sport Pants Jogger - Gray</t>
  </si>
  <si>
    <t>NG.IC,GH</t>
  </si>
  <si>
    <t>FA203MW0XHPJ3NAFAMZ</t>
  </si>
  <si>
    <t>FA459MW0O28AHNAFAMZ</t>
  </si>
  <si>
    <t>FA114MW0CCIESNAFAMZ</t>
  </si>
  <si>
    <t>Hotsell-COD</t>
  </si>
  <si>
    <t>4pcs Men Underwear Boxers Panties Comfortable Soft</t>
  </si>
  <si>
    <t>NG,KE,CI,UG,SN,GH</t>
  </si>
  <si>
    <t>FA203MW2WP9H9NAFAMZ</t>
  </si>
  <si>
    <t>FA113SL040DAGNAFAMZ</t>
  </si>
  <si>
    <t>FA459SL0DAAJANAFAMZ</t>
  </si>
  <si>
    <t>FA114SL1L8FMFNAFAMZ</t>
  </si>
  <si>
    <t>FA298SL0EN7ZANAFAMZ</t>
  </si>
  <si>
    <t>FA590MW11DND5NAFAMZ</t>
  </si>
  <si>
    <t>Dragon-SEAS-COD</t>
  </si>
  <si>
    <t>Socks Set Of 6 - Multicolor</t>
  </si>
  <si>
    <t>NG,KE,IC,SN</t>
  </si>
  <si>
    <t>FA203MW39V4TXNAFAMZ</t>
  </si>
  <si>
    <t>FA113MW0UAXKBNAFAMZ</t>
  </si>
  <si>
    <t xml:space="preserve">FA459MW0BCF9ANAFAMZ </t>
  </si>
  <si>
    <t>FA590MW0TZTJTNAFAMZ</t>
  </si>
  <si>
    <t>Men's Trendy Zipper Comfort Hoodie Varsity Jacket Sweatshirts - White</t>
  </si>
  <si>
    <t>NG,SN,KE,CI,UG</t>
  </si>
  <si>
    <t>FA203AA1KIR1LNAFAMZ</t>
  </si>
  <si>
    <t>FA113MW0GGC3LNAFAMZ</t>
  </si>
  <si>
    <t>FA459MW0QRNJLNAFAMZ</t>
  </si>
  <si>
    <t>FA298MW03WXETNAFAMZ</t>
  </si>
  <si>
    <t>FA590MW0QAVEYNAFAMZ</t>
  </si>
  <si>
    <t>Yinglong Family-COD</t>
  </si>
  <si>
    <t>Men's 2 In 1 Short Sleeve T-Shirt &amp; Shorts Set- Black</t>
  </si>
  <si>
    <t>NG,KE,GH,CI,SN</t>
  </si>
  <si>
    <t>FA203MW3AZE5HNAFAMZ</t>
  </si>
  <si>
    <t>FA459MW1CC68SNAFAMZ</t>
  </si>
  <si>
    <t>FA114MW05U02PNAFAMZ</t>
  </si>
  <si>
    <t>FA590MW0WO9RTNAFAMZ</t>
  </si>
  <si>
    <t>Women's clothing</t>
  </si>
  <si>
    <t>Holyn</t>
  </si>
  <si>
    <t>New sku from existing supplier</t>
  </si>
  <si>
    <t>need to check with current seller to see if they can do it</t>
  </si>
  <si>
    <t>Women's accessories</t>
  </si>
  <si>
    <t>Will</t>
  </si>
  <si>
    <t>Sunshining-COD</t>
  </si>
  <si>
    <t>Mode Boucles D'oreilles Pour Femmes -12 Paires</t>
  </si>
  <si>
    <t>IC,UG,NG</t>
  </si>
  <si>
    <t>FA203FC4K2223NAFAMZ</t>
  </si>
  <si>
    <t>MO985FC01G4FGNAFAMZ</t>
  </si>
  <si>
    <t>MO929FC0NCWGXNAFAMZ</t>
  </si>
  <si>
    <t>Men's shoes</t>
  </si>
  <si>
    <t>Owen</t>
  </si>
  <si>
    <t>SMARK FASHION-SEA-COD</t>
  </si>
  <si>
    <t>Fashion Men's Shoes Fashion Sneakers Casual Outdoor Easywear Trendy Shoes Running Sport Sneakers</t>
  </si>
  <si>
    <t>NG,KE,CI,SN,UG</t>
  </si>
  <si>
    <t>FA203FS1EH68NNAFAMZ</t>
  </si>
  <si>
    <t>FA113FS0TR83NNAFAMZ</t>
  </si>
  <si>
    <t>FA459FS0THC67NAFAMZ</t>
  </si>
  <si>
    <t>FA298FS0003GFNAFAMZ</t>
  </si>
  <si>
    <t>FA590FS0TRPT1NAFAMZ</t>
  </si>
  <si>
    <t>2021 Men Casual Noble Running Sneakers - Black/Gold</t>
  </si>
  <si>
    <t>NG,KE,SN</t>
  </si>
  <si>
    <t>WE732FS18DL3KNAFAMZ</t>
  </si>
  <si>
    <t>FA113FS0ORS2SNAFAMZ</t>
  </si>
  <si>
    <t>WE553FS0C8FM8NAFAMZ</t>
  </si>
  <si>
    <t>Weshopping-Sea-COD</t>
  </si>
  <si>
    <t>Men's Casual Oxfords Pu Leather Loafers Brogues Shoes Wedding White</t>
  </si>
  <si>
    <t>FA203FS21C827NAFAMZ</t>
  </si>
  <si>
    <t>FA113FS0DHE7CNAFAMZ</t>
  </si>
  <si>
    <t>FA459FS1LJIV2NAFAMZ</t>
  </si>
  <si>
    <t>FA114FS0JFJOYNAFAMZ</t>
  </si>
  <si>
    <t>FA298FS0SFR1INAFAMZ</t>
  </si>
  <si>
    <t>FA590FS08M6Z5NAFAMZ</t>
  </si>
  <si>
    <t>Men's accessories</t>
  </si>
  <si>
    <t>SMARK-SEA-CODx</t>
  </si>
  <si>
    <t>Lot De Sac Femmes - 4 En 1 - Simili Cuir - Noir</t>
  </si>
  <si>
    <t>IC,NG,KE,GH,SN</t>
  </si>
  <si>
    <t>FA203FC0DF8DBNAFAMZ</t>
  </si>
  <si>
    <t>FA113FC038LSYNAFAMZ</t>
  </si>
  <si>
    <t>FA459FC0D5B9YNAFAMZ</t>
  </si>
  <si>
    <t>FA114FC19AU71NAFAMZ</t>
  </si>
  <si>
    <t>FA590FC0N8C8YNAFAMZ</t>
  </si>
  <si>
    <t>Phones</t>
  </si>
  <si>
    <t>Stephen</t>
  </si>
  <si>
    <t>itel NG Accessory-COD</t>
  </si>
  <si>
    <t xml:space="preserve">20000mAh Mobile Power Charge Bank </t>
  </si>
  <si>
    <t>IT724EA45WDVPNAFAMZ</t>
  </si>
  <si>
    <t>Itel 10000mAh Fast Charging,STAR100 Mobile Power Charge Bank</t>
  </si>
  <si>
    <t>IT724EA4NRE11NAFAMZ</t>
  </si>
  <si>
    <t>Computing</t>
  </si>
  <si>
    <t>Tivan</t>
  </si>
  <si>
    <t>Be strong-COD</t>
  </si>
  <si>
    <t>64G USB Flash Drive Small  Pen Drive</t>
  </si>
  <si>
    <t>CI</t>
  </si>
  <si>
    <t>BE421EA3RQMA7NAFAMZ</t>
  </si>
  <si>
    <t>GE070EA15M1TYNAFAMZ</t>
  </si>
  <si>
    <t>NG haven't join basic project before, the sku is newly proposed</t>
  </si>
  <si>
    <t>128G USB Flash Drive Small And Convenient  Pen Drive  Red</t>
  </si>
  <si>
    <t>NG/CI/KE/UG/SN</t>
  </si>
  <si>
    <t>GE779EA4DYL6ONAFAMZ</t>
  </si>
  <si>
    <t>GE840EA2LUAOUNAFAMZ</t>
  </si>
  <si>
    <t>GE070EA1377WCNAFAMZ</t>
  </si>
  <si>
    <t>GE779EA0K8JJ1NAFAMZ</t>
  </si>
  <si>
    <t>GE944EA1FF87ZNAFAMZ</t>
  </si>
  <si>
    <t>Myrtle</t>
  </si>
  <si>
    <t>Sunshine Mall-COD</t>
  </si>
  <si>
    <t>Ace Elec Écouteurs Bluetooth - Mini Pro 4 Oreillette Bluetooth Stéréo - Blanc</t>
  </si>
  <si>
    <t>AC851EA1CE5BONAFAMZ</t>
  </si>
  <si>
    <t xml:space="preserve">price 3100, not extend to other countries due to no proven good sales </t>
  </si>
  <si>
    <t>F9 Wireless Fingerprint Touch Bluetooth Headset</t>
  </si>
  <si>
    <t>NG,KE,GH,CI,SN,UG</t>
  </si>
  <si>
    <t>AC431EA4CKAFQNAFAMZ</t>
  </si>
  <si>
    <t>AC098EA271VEXNAFAMZ</t>
  </si>
  <si>
    <t>AC851EA16FT9WNAFAMZ</t>
  </si>
  <si>
    <t>AC925EA1Q27NSNAFAMZ</t>
  </si>
  <si>
    <t>BR811EA0S7SLENAFAMZ</t>
  </si>
  <si>
    <t>AC849EA12QQNXNAFAMZ</t>
  </si>
  <si>
    <t>Haut-parleur Bluetooth Portable Lumière LED 11RGB</t>
  </si>
  <si>
    <t>AC851EA068TN6NAFAMZ</t>
  </si>
  <si>
    <t xml:space="preserve">price 6900,price 3100, not extend to other countries due to no proven good sales </t>
  </si>
  <si>
    <t>Gbsmarty-COD</t>
  </si>
  <si>
    <t>Smart Watch Full Touch Screen Watch - For Android &amp; IOS</t>
  </si>
  <si>
    <t>GE779EA3BSHUTNAFAMZ</t>
  </si>
  <si>
    <t xml:space="preserve">price 4659,price 3100, not extend to other countries due to no proven good sales </t>
  </si>
  <si>
    <t>New sku from new supplier</t>
  </si>
  <si>
    <t>itel NG-COD</t>
  </si>
  <si>
    <t xml:space="preserve">Itel 6360 2000mAh 2.8'' Display Smart Touch Button Feature Phone- PURPL
</t>
  </si>
  <si>
    <t>IT724EA3J2XKDNAFAMZ</t>
  </si>
  <si>
    <t>Home / small appliance</t>
  </si>
  <si>
    <t>Jenny</t>
  </si>
  <si>
    <t xml:space="preserve"> </t>
  </si>
  <si>
    <t>Maimeite Official Store-Sea-COD</t>
  </si>
  <si>
    <t>Maimeite New Rechargeable Fan 3 Speeds Table Fan-Green</t>
  </si>
  <si>
    <t>NG Only</t>
  </si>
  <si>
    <t>MA566HA4J2YWQNAFAMZ</t>
  </si>
  <si>
    <t>Beauty &amp; perfumes</t>
  </si>
  <si>
    <t>JM Queen-SEA-COD</t>
  </si>
  <si>
    <t>Deliya Hair Blow Dryer 2200W Hair Dryer+6 Gifts</t>
  </si>
  <si>
    <t>KE,IC,SN</t>
  </si>
  <si>
    <t>FA113HB0720GMNAFAMZ</t>
  </si>
  <si>
    <t>GE070ST0JE5LRNAFAMZ</t>
  </si>
  <si>
    <t>DE609ST0X3R35NAFAMZ</t>
  </si>
  <si>
    <t>Leebuy Trend Store-COD</t>
  </si>
  <si>
    <t>Rechargeable Cordless Hair Clipper/Trimmer -  2000mAh Cream</t>
  </si>
  <si>
    <t>KE,IC,SN,GH</t>
  </si>
  <si>
    <t>GE840ST3268J3NAFAMZ
GE840ST104YKCNAFAMZ</t>
  </si>
  <si>
    <t>GE070ST198DOMNAFAMZ
GE070ST1N0VJINAFAMZ</t>
  </si>
  <si>
    <t>GE779HB0VMZ9FNAFAMZ</t>
  </si>
  <si>
    <t>GE944ST1N9L43NAFAMZ
GE944ST0I4C9NNAFAMZ</t>
  </si>
  <si>
    <t>this product has two colors: White&amp;Black, so the same country has 2 skus</t>
  </si>
  <si>
    <t>han river official store-COD</t>
  </si>
  <si>
    <t>HAN RIVER Classic Dry Iron</t>
  </si>
  <si>
    <t>HA565HA2LADEONAFAMZ</t>
  </si>
  <si>
    <t>HAN RIVER 7 Speed Electric Hand Mixer/Blender/cake/cream/ Egg White</t>
  </si>
  <si>
    <t>HA565HA29HNA8NAFAMZ</t>
  </si>
  <si>
    <t>Basic assortment</t>
  </si>
  <si>
    <t>KAM</t>
  </si>
  <si>
    <t>Best sku</t>
  </si>
  <si>
    <t xml:space="preserve">Selling currently in ? </t>
  </si>
  <si>
    <t>Price NG</t>
  </si>
  <si>
    <t>Price KE</t>
  </si>
  <si>
    <t>Price UG</t>
  </si>
  <si>
    <t>Validation NG</t>
  </si>
  <si>
    <t>Validation KE</t>
  </si>
  <si>
    <t>Validation UG</t>
  </si>
  <si>
    <t>T-shirt</t>
  </si>
  <si>
    <t>X</t>
  </si>
  <si>
    <t>https://www.jumia.com.ng/fashion-trendy-mens-casual-shoes-glossy-leather-running-sneakers-black-105588013.html</t>
  </si>
  <si>
    <t xml:space="preserve">shirt </t>
  </si>
  <si>
    <t>Y</t>
  </si>
  <si>
    <t>NG, KE, UG</t>
  </si>
  <si>
    <t>trousers</t>
  </si>
  <si>
    <t>Z</t>
  </si>
  <si>
    <t>Package reference</t>
  </si>
  <si>
    <t>https://docs.google.com/spreadsheets/d/1OvB2YjEqKcQLjWc2xa4RF4y0ocP-l2ZU2S-wDQPj4yQ/edit#gid=2127157777</t>
  </si>
  <si>
    <t>Product</t>
  </si>
  <si>
    <t>Log size</t>
  </si>
  <si>
    <t>Purchase cost (USD)</t>
  </si>
  <si>
    <t>International logistic cost(Sea Freight)</t>
  </si>
  <si>
    <t>45 days storage fees</t>
  </si>
  <si>
    <t>Outbound fees</t>
  </si>
  <si>
    <t>Cost buffer (returns, lost, etc)</t>
  </si>
  <si>
    <t>Profit (10% of selling price)</t>
  </si>
  <si>
    <t>Selling price USD</t>
  </si>
  <si>
    <t>Selling price LCY</t>
  </si>
  <si>
    <t>Normal price of local supply</t>
  </si>
  <si>
    <t>Should we source from China ? / Comments if any</t>
  </si>
  <si>
    <t>Yes</t>
  </si>
  <si>
    <t>single or pack?</t>
  </si>
  <si>
    <t>Yes, Packs of 4</t>
  </si>
  <si>
    <t>Sold usually in pack of 4 shirts 20% discounts</t>
  </si>
  <si>
    <t>for long slee</t>
  </si>
  <si>
    <t>type/ material?</t>
  </si>
  <si>
    <t>Yes- sweat pants, tracksuits, cargo pants</t>
  </si>
  <si>
    <t>usually sold in pack of 5 at 15% discount</t>
  </si>
  <si>
    <t>No</t>
  </si>
  <si>
    <t>ankle/ high?</t>
  </si>
  <si>
    <t>Not there on local market</t>
  </si>
  <si>
    <t>Yes-global dorminates accessories</t>
  </si>
  <si>
    <t>differ with material</t>
  </si>
  <si>
    <t>below 1000</t>
  </si>
  <si>
    <t>material/ design?</t>
  </si>
  <si>
    <t>Xsmall</t>
  </si>
  <si>
    <t>pack of 3 for children and baby</t>
  </si>
  <si>
    <t>sold in packs of 6</t>
  </si>
  <si>
    <t>Local is more compeititve</t>
  </si>
  <si>
    <t>sold as 2 pack @59</t>
  </si>
  <si>
    <t>for 16" standing fan</t>
  </si>
  <si>
    <t>depends on noumber of ports and voltage</t>
  </si>
  <si>
    <t>yes if we can achieve target price</t>
  </si>
  <si>
    <t>depends on the type, with bowl or without?</t>
  </si>
  <si>
    <t>点击选择国家</t>
  </si>
  <si>
    <t>尼日利亚</t>
  </si>
  <si>
    <t>Value updated for Version 2024-08-26</t>
  </si>
  <si>
    <t>点击选择品类</t>
  </si>
  <si>
    <t>衬衫</t>
  </si>
  <si>
    <t>序列</t>
  </si>
  <si>
    <t>Cost Breakdown Name（成本明细名称）</t>
  </si>
  <si>
    <t>成本金额 美金</t>
  </si>
  <si>
    <t>成本项目占FBJ最终定价的比例</t>
  </si>
  <si>
    <t>备注</t>
  </si>
  <si>
    <t>Purchase cost
采购成本</t>
  </si>
  <si>
    <r>
      <rPr>
        <b/>
        <sz val="10"/>
        <rFont val="微软雅黑"/>
        <charset val="134"/>
      </rPr>
      <t>1.</t>
    </r>
    <r>
      <rPr>
        <sz val="10"/>
        <rFont val="微软雅黑"/>
        <charset val="134"/>
      </rPr>
      <t xml:space="preserve">请在B列下拉列选择您要计算的国家及品类,如无对应品类，请选择相似品类  </t>
    </r>
    <r>
      <rPr>
        <b/>
        <sz val="10"/>
        <rFont val="微软雅黑"/>
        <charset val="134"/>
      </rPr>
      <t>2.</t>
    </r>
    <r>
      <rPr>
        <sz val="10"/>
        <rFont val="微软雅黑"/>
        <charset val="134"/>
      </rPr>
      <t xml:space="preserve">请在C列绿色部分填写相应数值，其他部分不需要填写 </t>
    </r>
    <r>
      <rPr>
        <b/>
        <sz val="10"/>
        <rFont val="微软雅黑"/>
        <charset val="134"/>
      </rPr>
      <t>3.</t>
    </r>
    <r>
      <rPr>
        <sz val="10"/>
        <rFont val="微软雅黑"/>
        <charset val="134"/>
      </rPr>
      <t>计算结果仅供参考</t>
    </r>
  </si>
  <si>
    <t>International logistic cost(Sea Freight)
国际运费</t>
  </si>
  <si>
    <t>采购成本及国际运费请根据实际业务情况填写</t>
  </si>
  <si>
    <t>Storage fee 
仓储费（基于仓储天数）</t>
  </si>
  <si>
    <t>C6格填写商品在JUMIA仓库的仓储天数,其中尼日利亚目前免仓租60天，其他国家免仓租14天，如计算免仓租期的成本，请统一填写14</t>
  </si>
  <si>
    <t>Outbound fee 
出仓费</t>
  </si>
  <si>
    <t>Basic Cost-USD基础成本总计</t>
  </si>
  <si>
    <t>Cost buffer (for returns, lost, etc.)
% based on basic cost 
预估的其他成本（退货、丢失）</t>
  </si>
  <si>
    <t>卖家的额外成本应包括退换货，丢件等未知变量可能产生额外成本，卖家可根据测品实际数据进行调整</t>
  </si>
  <si>
    <t>Jumia commission
(% based on final item price）
平台佣金（基于产品售价）</t>
  </si>
  <si>
    <t>profit（% based on basic cost ）
产品利润（基于基础成本的比重）</t>
  </si>
  <si>
    <t>Final Item Price_ USD（海外仓产品最终定价：美元）</t>
  </si>
  <si>
    <t>Current exchange rates （当前汇率/当地货币）</t>
  </si>
  <si>
    <t>Final Item Price_ LCY（海外仓产品最终定价：汇率/当地货币）</t>
  </si>
  <si>
    <t>FX- 2025/1/1</t>
  </si>
  <si>
    <t>肯尼亚</t>
  </si>
  <si>
    <t>科特迪瓦</t>
  </si>
  <si>
    <t>加纳</t>
  </si>
  <si>
    <t>塞内加尔</t>
  </si>
  <si>
    <t>乌干达</t>
  </si>
  <si>
    <t>storage</t>
  </si>
  <si>
    <t>中文名称</t>
  </si>
  <si>
    <t>OUTBOUND</t>
  </si>
  <si>
    <t>commission</t>
  </si>
  <si>
    <t>T恤</t>
  </si>
  <si>
    <t>裤子</t>
  </si>
  <si>
    <t>内衣4件装</t>
  </si>
  <si>
    <t>Underwear pack of 4</t>
  </si>
  <si>
    <t>袜子6件装</t>
  </si>
  <si>
    <t>Socks pack of six</t>
  </si>
  <si>
    <t>连帽衫/夹克</t>
  </si>
  <si>
    <t>Hoodie/ Jacket</t>
  </si>
  <si>
    <t>男士黑色短裤和衬衫套装</t>
  </si>
  <si>
    <t>Set of black short &amp; shirt for men</t>
  </si>
  <si>
    <t>女士内衣4件装</t>
  </si>
  <si>
    <t>Women underwear  pack of 4</t>
  </si>
  <si>
    <t>胸罩2件装</t>
  </si>
  <si>
    <t>bra pack of two</t>
  </si>
  <si>
    <t>女士连衣裙</t>
  </si>
  <si>
    <t>Women dress</t>
  </si>
  <si>
    <t>耳环12件装</t>
  </si>
  <si>
    <t>Set of earings pck of 12</t>
  </si>
  <si>
    <t>情侣项链2件装</t>
  </si>
  <si>
    <t>Couple necklace pck of 2</t>
  </si>
  <si>
    <t>男士休闲鞋</t>
  </si>
  <si>
    <t>Men Casual shoes</t>
  </si>
  <si>
    <t>男士运动鞋</t>
  </si>
  <si>
    <t>Men Sports shoes</t>
  </si>
  <si>
    <t>男士正装鞋</t>
  </si>
  <si>
    <t>Men Formal shoes</t>
  </si>
  <si>
    <t>皮带</t>
  </si>
  <si>
    <t>belt</t>
  </si>
  <si>
    <t>太阳镜</t>
  </si>
  <si>
    <t>Sunglasses</t>
  </si>
  <si>
    <t>手表</t>
  </si>
  <si>
    <t>watch</t>
  </si>
  <si>
    <t>包-笔记本电脑包</t>
  </si>
  <si>
    <t>Bag- laptop bag</t>
  </si>
  <si>
    <t>包-女士手提包</t>
  </si>
  <si>
    <t>Bag- lady's carring bag</t>
  </si>
  <si>
    <t>包-4合1</t>
  </si>
  <si>
    <t>Bag- 4in1</t>
  </si>
  <si>
    <t>拖鞋</t>
  </si>
  <si>
    <t>Slippers</t>
  </si>
  <si>
    <t>20K MAh移动电源</t>
  </si>
  <si>
    <t>20K MAh powerbank</t>
  </si>
  <si>
    <t>10K MAh移动电源</t>
  </si>
  <si>
    <t>10K MAh powerbank</t>
  </si>
  <si>
    <t>USB驱动器64G</t>
  </si>
  <si>
    <t>USB drive 64G</t>
  </si>
  <si>
    <t>USB驱动器128G</t>
  </si>
  <si>
    <t>USB drive 128G</t>
  </si>
  <si>
    <t>无线耳机airpod款式</t>
  </si>
  <si>
    <t>Wireless earphones airpod style</t>
  </si>
  <si>
    <t>无线耳机F9款式</t>
  </si>
  <si>
    <t>Wireless earphones F9 style</t>
  </si>
  <si>
    <t>无线扬声器</t>
  </si>
  <si>
    <t>Wireless speaker</t>
  </si>
  <si>
    <t>智能手表</t>
  </si>
  <si>
    <t>Smartwatch</t>
  </si>
  <si>
    <t>功能手机</t>
  </si>
  <si>
    <t>Feature phone</t>
  </si>
  <si>
    <t>笔记本电脑鼠标</t>
  </si>
  <si>
    <t>Laptop mouse</t>
  </si>
  <si>
    <t>基本工具包</t>
  </si>
  <si>
    <t>Basic toolkit</t>
  </si>
  <si>
    <t>手巾</t>
  </si>
  <si>
    <t>Hand towel</t>
  </si>
  <si>
    <t>淋浴/浴巾</t>
  </si>
  <si>
    <t>Shower/Bath towel</t>
  </si>
  <si>
    <t>风扇-小</t>
  </si>
  <si>
    <t>Fan- Small</t>
  </si>
  <si>
    <t>电源板</t>
  </si>
  <si>
    <t>Power strip</t>
  </si>
  <si>
    <t>吹风机</t>
  </si>
  <si>
    <t>Hair Dryer</t>
  </si>
  <si>
    <t>理发器</t>
  </si>
  <si>
    <t>Hair Clipper</t>
  </si>
  <si>
    <t>水壶</t>
  </si>
  <si>
    <t>Kettle</t>
  </si>
  <si>
    <t>熨斗</t>
  </si>
  <si>
    <t xml:space="preserve">Iron </t>
  </si>
  <si>
    <t>铲子（五件套）</t>
  </si>
  <si>
    <t>Spatulas ( a set of five)</t>
  </si>
  <si>
    <t>平底锅（28厘米）</t>
  </si>
  <si>
    <t>Pan (28cm)</t>
  </si>
  <si>
    <t>厨房锅（26厘米）</t>
  </si>
  <si>
    <t>Kitchen pot (26cm)</t>
  </si>
  <si>
    <t>搅拌器</t>
  </si>
  <si>
    <t>Mixer</t>
  </si>
  <si>
    <t>32寸电视机</t>
  </si>
  <si>
    <t>32 inch TV</t>
  </si>
  <si>
    <t>笔记本电脑</t>
  </si>
  <si>
    <t>laptop</t>
  </si>
  <si>
    <t>https://app.powerbi.com/groups/e54bcaf0-c823-4267-9233-8d36549c1445/reports/1a0ba469-3808-4629-a9e7-019a66c4572a/ReportSection295e34187cce4da18740?language=en-US&amp;experience=power-bi</t>
  </si>
  <si>
    <t>SKU Config</t>
  </si>
  <si>
    <t>Delivered Final Items Sold</t>
  </si>
  <si>
    <t>Delivered Final Conversion Rate</t>
  </si>
  <si>
    <t>AS568FS3SCVEONAFAMZ</t>
  </si>
  <si>
    <t>EA102EA4L614JNAFAMZ</t>
  </si>
  <si>
    <t>FA113FS0SCF4NNAFAMZ</t>
  </si>
  <si>
    <t>FA113MW1H0IY6NAFAMZ</t>
  </si>
  <si>
    <t>FA114FS05B9D4NAFAMZ</t>
  </si>
  <si>
    <t>FA114MW2G8CGJNAFAMZ</t>
  </si>
  <si>
    <t>FA203MW1I3U1TNAFAMZ</t>
  </si>
  <si>
    <t>FA298FS0AUX0ZNAFAMZ</t>
  </si>
  <si>
    <t>FA298MW0G3FO6NAFAMZ</t>
  </si>
  <si>
    <t>FA459FS08GO0YNAFAMZ</t>
  </si>
  <si>
    <t>FA459MW0JFDD2NAFAMZ</t>
  </si>
  <si>
    <t>FA590MW0H9OY7NAFAMZ</t>
  </si>
  <si>
    <t>GE070EA00ZCLYNAFAMZ</t>
  </si>
  <si>
    <t>GE070EA0B0SGMNAFAMZ</t>
  </si>
  <si>
    <t>GE779EA0H5537NAFAMZ</t>
  </si>
  <si>
    <t>GE779EA0P7DSVNAFAMZ</t>
  </si>
  <si>
    <t>GE779EA0PELKYNAFAMZ</t>
  </si>
  <si>
    <t>GE779EA36QBLINAFAMZ</t>
  </si>
  <si>
    <t>GE779EA3EPZB7NAFAMZ</t>
  </si>
  <si>
    <t>GE779HA1XMHCLNAFAMZ</t>
  </si>
  <si>
    <t>GE779LB2G81OONAFAMZ</t>
  </si>
  <si>
    <t>GE840EA24PVIFNAFAMZ</t>
  </si>
  <si>
    <t>GE840EA2GZC4KNAFAMZ</t>
  </si>
  <si>
    <t>GE840FD0P1IVXNAFAMZ</t>
  </si>
  <si>
    <t>GE944EA08CLDHNAFAMZ</t>
  </si>
  <si>
    <t>GE944EA105GPTNAFAMZ</t>
  </si>
  <si>
    <t>GL325HA0M8ZL6NAFAMZ</t>
  </si>
  <si>
    <t>WE553FS0AV6XUNAFAMZ</t>
  </si>
  <si>
    <t>GE944HA1MWZQ5NAFAMZ</t>
  </si>
  <si>
    <t>GE779EA0RIANXNAFAMZ</t>
  </si>
  <si>
    <t>FA298EA01R6YZNAFAMZ</t>
  </si>
  <si>
    <t>FA590EA17685TNAFAMZ</t>
  </si>
  <si>
    <t>GE070LB1KZEFCNAFAMZ</t>
  </si>
  <si>
    <t>GE779FD0WAQN3NAFAMZ</t>
  </si>
  <si>
    <t>GE779FD1QEH87NAFAMZ</t>
  </si>
  <si>
    <t>GE779HA31HV6FNAFAMZ</t>
  </si>
  <si>
    <t>GE840LB2NAEALNAFAMZ</t>
  </si>
  <si>
    <t>GE944HA0A3MZBNAFAMZ</t>
  </si>
  <si>
    <t>GE944LB1GWX3BNAFAMZ</t>
  </si>
  <si>
    <t>original link</t>
  </si>
  <si>
    <t>https://docs.google.com/spreadsheets/d/1570S5fPNfBQDclqog0S0ny63ZzG4VVHsYJYIgb61nT4/edit#gid=2099665394</t>
  </si>
  <si>
    <t>Value updated for Version 2023-08-01</t>
  </si>
  <si>
    <t>Purchase cost</t>
  </si>
  <si>
    <t>FBJ WH fee for 145 days (storage+outbound)</t>
  </si>
  <si>
    <t>45 days storage fee</t>
  </si>
  <si>
    <t>Cost buffer (for returns, lost, etc.)</t>
  </si>
  <si>
    <t>profit</t>
  </si>
  <si>
    <t>Final Item Price_ USD</t>
  </si>
  <si>
    <t>Final Item Price_ LCY</t>
  </si>
  <si>
    <t>storage fee by country</t>
  </si>
  <si>
    <t>ZZ</t>
  </si>
  <si>
    <r>
      <rPr>
        <u/>
        <sz val="10"/>
        <color rgb="FF1155CC"/>
        <rFont val="Arial"/>
        <charset val="134"/>
      </rPr>
      <t>FX</t>
    </r>
    <r>
      <rPr>
        <sz val="10"/>
        <color rgb="FF000000"/>
        <rFont val="Arial"/>
        <charset val="134"/>
      </rPr>
      <t>- 8.15</t>
    </r>
  </si>
  <si>
    <t>Count of lost, RTV and damage on UID level.the final cost buffer= jumia side lost, RTV and damage + before inbound lost and damage, roughly equals 10%</t>
  </si>
  <si>
    <t>raw data</t>
  </si>
  <si>
    <t xml:space="preserve">Cost buffer </t>
  </si>
  <si>
    <t>pricesheet provided by 3PL CHOICE on 2023-7</t>
  </si>
  <si>
    <t>3C- JOHN</t>
  </si>
  <si>
    <t>Cost per CBM- SF</t>
  </si>
  <si>
    <t>Cost for re-inbound</t>
  </si>
  <si>
    <t>Cost for RTV</t>
  </si>
  <si>
    <t>Cost for re-pkg</t>
  </si>
  <si>
    <t>Total cost for first mile</t>
  </si>
  <si>
    <t>FASHION- JK</t>
  </si>
  <si>
    <t>Cost for CN domestic logistics cost</t>
  </si>
  <si>
    <t>AH- ALVIN</t>
  </si>
  <si>
    <t>分别统计重新入仓，重新打包和RTV占到整个头程费用的比例</t>
  </si>
  <si>
    <t>Value updated for Version 2023-11-01</t>
  </si>
  <si>
    <t>pro3</t>
  </si>
  <si>
    <t>Current Share % of final item price</t>
  </si>
  <si>
    <t>FBJ WH fee for 60 days (storage+outbound)</t>
  </si>
  <si>
    <t>Storage fee for 60 days (with 15 days exemption, and plus 45 days storage fee)</t>
  </si>
  <si>
    <t>Cost buffer (for returns, lost, etc.)
% based on basic cost</t>
  </si>
  <si>
    <t>Jumia commission
% based on final item price</t>
  </si>
  <si>
    <t>profit
% based on final item price</t>
  </si>
  <si>
    <t>Take rate</t>
  </si>
  <si>
    <r>
      <rPr>
        <u/>
        <sz val="10"/>
        <color rgb="FF1155CC"/>
        <rFont val="Arial"/>
        <charset val="134"/>
      </rPr>
      <t>FX</t>
    </r>
    <r>
      <rPr>
        <sz val="10"/>
        <color rgb="FF000000"/>
        <rFont val="Arial"/>
        <charset val="134"/>
        <scheme val="minor"/>
      </rPr>
      <t>- 11.1</t>
    </r>
  </si>
  <si>
    <t>Xsmall fashion</t>
  </si>
  <si>
    <t>Small fashion</t>
  </si>
  <si>
    <t>Xsmall GM</t>
  </si>
  <si>
    <t>Small GM</t>
  </si>
  <si>
    <t>Cost buffer after Jumia inbound</t>
  </si>
  <si>
    <t>lost before JUMIA inbound</t>
  </si>
  <si>
    <t>Total cost buffer for lost and damage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</si>
</sst>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"/>
    <numFmt numFmtId="177" formatCode="0.000"/>
    <numFmt numFmtId="178" formatCode="&quot;$&quot;#,##0.0000000"/>
    <numFmt numFmtId="179" formatCode="0.0%"/>
    <numFmt numFmtId="180" formatCode="0.0"/>
    <numFmt numFmtId="181" formatCode="0.00_);[Red]\(0.00\)"/>
    <numFmt numFmtId="182" formatCode="0.000_ "/>
    <numFmt numFmtId="183" formatCode="#,##0.0"/>
    <numFmt numFmtId="184" formatCode="[$LCY  ]#,##0"/>
  </numFmts>
  <fonts count="61">
    <font>
      <sz val="10"/>
      <color rgb="FF000000"/>
      <name val="Arial"/>
      <charset val="134"/>
      <scheme val="minor"/>
    </font>
    <font>
      <sz val="11"/>
      <color rgb="FF000000"/>
      <name val="Calibri"/>
      <charset val="134"/>
    </font>
    <font>
      <sz val="10"/>
      <color theme="1"/>
      <name val="Arial"/>
      <charset val="134"/>
      <scheme val="minor"/>
    </font>
    <font>
      <b/>
      <sz val="10"/>
      <color theme="1"/>
      <name val="Arial"/>
      <charset val="134"/>
      <scheme val="minor"/>
    </font>
    <font>
      <b/>
      <sz val="12"/>
      <color rgb="FF000000"/>
      <name val="Calibri"/>
      <charset val="134"/>
    </font>
    <font>
      <b/>
      <sz val="11"/>
      <color rgb="FFFFFFFF"/>
      <name val="Calibri"/>
      <charset val="134"/>
    </font>
    <font>
      <sz val="10"/>
      <color rgb="FF000000"/>
      <name val="Calibri"/>
      <charset val="134"/>
    </font>
    <font>
      <b/>
      <sz val="11"/>
      <color rgb="FF000000"/>
      <name val="Calibri"/>
      <charset val="134"/>
    </font>
    <font>
      <sz val="10"/>
      <name val="Arial"/>
      <charset val="134"/>
    </font>
    <font>
      <sz val="12"/>
      <color rgb="FF000000"/>
      <name val="Calibri"/>
      <charset val="134"/>
    </font>
    <font>
      <b/>
      <sz val="12"/>
      <color rgb="FFFFFFFF"/>
      <name val="Calibri"/>
      <charset val="134"/>
    </font>
    <font>
      <sz val="10"/>
      <color theme="1"/>
      <name val="__Ubuntu_7a7b28"/>
      <charset val="134"/>
    </font>
    <font>
      <sz val="10"/>
      <color rgb="FF374151"/>
      <name val="__Ubuntu_7a7b28"/>
      <charset val="134"/>
    </font>
    <font>
      <sz val="10"/>
      <color rgb="FF000000"/>
      <name val="Arial"/>
      <charset val="134"/>
    </font>
    <font>
      <u/>
      <sz val="10"/>
      <color rgb="FF0000FF"/>
      <name val="Arial"/>
      <charset val="134"/>
    </font>
    <font>
      <sz val="11"/>
      <color rgb="FF000000"/>
      <name val="等线"/>
      <charset val="134"/>
    </font>
    <font>
      <b/>
      <i/>
      <sz val="10"/>
      <color theme="1"/>
      <name val="Arial"/>
      <charset val="134"/>
      <scheme val="minor"/>
    </font>
    <font>
      <sz val="10"/>
      <color theme="1"/>
      <name val="Arial"/>
      <charset val="134"/>
    </font>
    <font>
      <b/>
      <sz val="12"/>
      <color theme="1"/>
      <name val="Arial"/>
      <charset val="134"/>
      <scheme val="minor"/>
    </font>
    <font>
      <sz val="11"/>
      <color rgb="FFFFFFFF"/>
      <name val="Calibri"/>
      <charset val="134"/>
    </font>
    <font>
      <sz val="11"/>
      <color theme="1"/>
      <name val="等线"/>
      <charset val="134"/>
    </font>
    <font>
      <b/>
      <sz val="11"/>
      <color rgb="FF000000"/>
      <name val="微软雅黑"/>
      <charset val="134"/>
    </font>
    <font>
      <sz val="11"/>
      <color rgb="FF000000"/>
      <name val="微软雅黑"/>
      <charset val="134"/>
    </font>
    <font>
      <b/>
      <sz val="11"/>
      <color rgb="FFFFFFFF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2"/>
      <color rgb="FF000000"/>
      <name val="微软雅黑"/>
      <charset val="134"/>
    </font>
    <font>
      <sz val="11"/>
      <name val="微软雅黑"/>
      <charset val="134"/>
    </font>
    <font>
      <b/>
      <sz val="12"/>
      <color rgb="FFFFFFFF"/>
      <name val="微软雅黑"/>
      <charset val="134"/>
    </font>
    <font>
      <sz val="10"/>
      <color rgb="FF374151"/>
      <name val="Arial"/>
      <charset val="134"/>
    </font>
    <font>
      <u/>
      <sz val="10"/>
      <color rgb="FF800080"/>
      <name val="Arial"/>
      <charset val="134"/>
    </font>
    <font>
      <sz val="10"/>
      <color rgb="FF313133"/>
      <name val="Roboto"/>
      <charset val="134"/>
    </font>
    <font>
      <sz val="11"/>
      <color rgb="FF313133"/>
      <name val="Roboto"/>
      <charset val="134"/>
    </font>
    <font>
      <sz val="11"/>
      <color theme="1"/>
      <name val="Arial"/>
      <charset val="134"/>
      <scheme val="minor"/>
    </font>
    <font>
      <sz val="11"/>
      <color rgb="FF000000"/>
      <name val="Arial"/>
      <charset val="134"/>
    </font>
    <font>
      <sz val="11"/>
      <color rgb="FF333333"/>
      <name val="Arial"/>
      <charset val="134"/>
    </font>
    <font>
      <sz val="12"/>
      <color rgb="FF313133"/>
      <name val="Roboto"/>
      <charset val="134"/>
    </font>
    <font>
      <sz val="11"/>
      <color rgb="FF000000"/>
      <name val="宋体"/>
      <charset val="134"/>
    </font>
    <font>
      <sz val="9"/>
      <color rgb="FF1F1F1F"/>
      <name val="&quot;Google Sans&quot;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0"/>
      <name val="微软雅黑"/>
      <charset val="134"/>
    </font>
    <font>
      <u/>
      <sz val="10"/>
      <color rgb="FF1155CC"/>
      <name val="Arial"/>
      <charset val="134"/>
    </font>
    <font>
      <sz val="10"/>
      <color rgb="FF000000"/>
      <name val="Arial"/>
      <charset val="1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C6E0B4"/>
        <bgColor rgb="FFC6E0B4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rgb="FFFF9900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"/>
        <bgColor rgb="FFFFFFFF"/>
      </patternFill>
    </fill>
    <fill>
      <patternFill patternType="solid">
        <fgColor theme="8" tint="0.599993896298105"/>
        <bgColor rgb="FFC6E0B4"/>
      </patternFill>
    </fill>
    <fill>
      <patternFill patternType="solid">
        <fgColor theme="2"/>
        <bgColor indexed="64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DFDFD"/>
        <bgColor rgb="FFFDFDFD"/>
      </patternFill>
    </fill>
    <fill>
      <patternFill patternType="solid">
        <fgColor rgb="FF00FFFF"/>
        <bgColor rgb="FF00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double">
        <color rgb="FF000000"/>
      </left>
      <right style="hair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double">
        <color rgb="FF000000"/>
      </right>
      <top/>
      <bottom style="hair">
        <color rgb="FF000000"/>
      </bottom>
      <diagonal/>
    </border>
    <border>
      <left style="double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E5E7EB"/>
      </left>
      <right style="thin">
        <color rgb="FFE5E7EB"/>
      </right>
      <top style="thin">
        <color rgb="FFE5E7EB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rgb="FF000000"/>
      </left>
      <right style="hair">
        <color rgb="FF000000"/>
      </right>
      <top style="medium">
        <color auto="1"/>
      </top>
      <bottom style="hair">
        <color rgb="FF000000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auto="1"/>
      </left>
      <right style="thin">
        <color auto="1"/>
      </right>
      <top style="hair">
        <color rgb="FF000000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/>
      <top/>
      <bottom style="double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hair">
        <color rgb="FF000000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E5E7EB"/>
      </top>
      <bottom style="thin">
        <color rgb="FF000000"/>
      </bottom>
      <diagonal/>
    </border>
    <border>
      <left style="thin">
        <color rgb="FFE5E7EB"/>
      </left>
      <right style="thin">
        <color rgb="FFE5E7EB"/>
      </right>
      <top/>
      <bottom style="thin">
        <color rgb="FF000000"/>
      </bottom>
      <diagonal/>
    </border>
    <border>
      <left/>
      <right style="thin">
        <color rgb="FFE5E7EB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18" borderId="8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83" applyNumberFormat="0" applyFill="0" applyAlignment="0" applyProtection="0">
      <alignment vertical="center"/>
    </xf>
    <xf numFmtId="0" fontId="45" fillId="0" borderId="83" applyNumberFormat="0" applyFill="0" applyAlignment="0" applyProtection="0">
      <alignment vertical="center"/>
    </xf>
    <xf numFmtId="0" fontId="46" fillId="0" borderId="8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9" borderId="85" applyNumberFormat="0" applyAlignment="0" applyProtection="0">
      <alignment vertical="center"/>
    </xf>
    <xf numFmtId="0" fontId="48" fillId="20" borderId="86" applyNumberFormat="0" applyAlignment="0" applyProtection="0">
      <alignment vertical="center"/>
    </xf>
    <xf numFmtId="0" fontId="49" fillId="20" borderId="85" applyNumberFormat="0" applyAlignment="0" applyProtection="0">
      <alignment vertical="center"/>
    </xf>
    <xf numFmtId="0" fontId="50" fillId="21" borderId="87" applyNumberFormat="0" applyAlignment="0" applyProtection="0">
      <alignment vertical="center"/>
    </xf>
    <xf numFmtId="0" fontId="51" fillId="0" borderId="88" applyNumberFormat="0" applyFill="0" applyAlignment="0" applyProtection="0">
      <alignment vertical="center"/>
    </xf>
    <xf numFmtId="0" fontId="52" fillId="0" borderId="89" applyNumberFormat="0" applyFill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</cellStyleXfs>
  <cellXfs count="299">
    <xf numFmtId="0" fontId="0" fillId="0" borderId="0" xfId="0"/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 vertical="top"/>
    </xf>
    <xf numFmtId="0" fontId="5" fillId="4" borderId="0" xfId="0" applyFont="1" applyFill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/>
    </xf>
    <xf numFmtId="0" fontId="1" fillId="3" borderId="2" xfId="0" applyFont="1" applyFill="1" applyBorder="1" applyAlignment="1">
      <alignment horizontal="center" vertical="top"/>
    </xf>
    <xf numFmtId="9" fontId="1" fillId="3" borderId="3" xfId="0" applyNumberFormat="1" applyFont="1" applyFill="1" applyBorder="1" applyAlignment="1">
      <alignment horizontal="center" vertical="top"/>
    </xf>
    <xf numFmtId="176" fontId="2" fillId="0" borderId="0" xfId="0" applyNumberFormat="1" applyFont="1" applyAlignment="1">
      <alignment horizontal="left"/>
    </xf>
    <xf numFmtId="0" fontId="1" fillId="3" borderId="4" xfId="0" applyFont="1" applyFill="1" applyBorder="1" applyAlignment="1">
      <alignment horizontal="center" vertical="top"/>
    </xf>
    <xf numFmtId="0" fontId="1" fillId="3" borderId="5" xfId="0" applyFont="1" applyFill="1" applyBorder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top"/>
    </xf>
    <xf numFmtId="9" fontId="1" fillId="3" borderId="7" xfId="0" applyNumberFormat="1" applyFont="1" applyFill="1" applyBorder="1" applyAlignment="1">
      <alignment horizontal="center" vertical="top"/>
    </xf>
    <xf numFmtId="0" fontId="1" fillId="3" borderId="8" xfId="0" applyFont="1" applyFill="1" applyBorder="1" applyAlignment="1">
      <alignment horizontal="center" vertical="top"/>
    </xf>
    <xf numFmtId="0" fontId="7" fillId="3" borderId="5" xfId="0" applyFont="1" applyFill="1" applyBorder="1" applyAlignment="1">
      <alignment horizontal="center" vertical="top" wrapText="1"/>
    </xf>
    <xf numFmtId="2" fontId="7" fillId="3" borderId="5" xfId="0" applyNumberFormat="1" applyFont="1" applyFill="1" applyBorder="1" applyAlignment="1">
      <alignment horizontal="center" vertical="top"/>
    </xf>
    <xf numFmtId="0" fontId="8" fillId="0" borderId="9" xfId="0" applyFont="1" applyBorder="1"/>
    <xf numFmtId="1" fontId="1" fillId="3" borderId="5" xfId="0" applyNumberFormat="1" applyFont="1" applyFill="1" applyBorder="1" applyAlignment="1">
      <alignment horizontal="center" vertical="top"/>
    </xf>
    <xf numFmtId="177" fontId="1" fillId="3" borderId="5" xfId="0" applyNumberFormat="1" applyFont="1" applyFill="1" applyBorder="1" applyAlignment="1">
      <alignment horizontal="center" vertical="top"/>
    </xf>
    <xf numFmtId="0" fontId="8" fillId="0" borderId="10" xfId="0" applyFont="1" applyBorder="1"/>
    <xf numFmtId="0" fontId="1" fillId="3" borderId="11" xfId="0" applyFont="1" applyFill="1" applyBorder="1" applyAlignment="1">
      <alignment horizontal="center" vertical="top"/>
    </xf>
    <xf numFmtId="2" fontId="1" fillId="3" borderId="11" xfId="0" applyNumberFormat="1" applyFont="1" applyFill="1" applyBorder="1" applyAlignment="1">
      <alignment horizontal="center" vertical="top"/>
    </xf>
    <xf numFmtId="176" fontId="2" fillId="0" borderId="0" xfId="0" applyNumberFormat="1" applyFont="1"/>
    <xf numFmtId="0" fontId="7" fillId="5" borderId="12" xfId="0" applyFont="1" applyFill="1" applyBorder="1" applyAlignment="1">
      <alignment horizontal="center" vertical="top"/>
    </xf>
    <xf numFmtId="0" fontId="7" fillId="5" borderId="13" xfId="0" applyFont="1" applyFill="1" applyBorder="1" applyAlignment="1">
      <alignment horizontal="center" vertical="top"/>
    </xf>
    <xf numFmtId="2" fontId="7" fillId="5" borderId="13" xfId="0" applyNumberFormat="1" applyFont="1" applyFill="1" applyBorder="1" applyAlignment="1">
      <alignment horizontal="center" vertical="top"/>
    </xf>
    <xf numFmtId="9" fontId="1" fillId="5" borderId="14" xfId="0" applyNumberFormat="1" applyFont="1" applyFill="1" applyBorder="1" applyAlignment="1">
      <alignment horizontal="center" vertical="top"/>
    </xf>
    <xf numFmtId="0" fontId="1" fillId="3" borderId="15" xfId="0" applyFont="1" applyFill="1" applyBorder="1" applyAlignment="1">
      <alignment horizontal="center" vertical="top"/>
    </xf>
    <xf numFmtId="0" fontId="1" fillId="3" borderId="16" xfId="0" applyFont="1" applyFill="1" applyBorder="1" applyAlignment="1">
      <alignment horizontal="center" vertical="top"/>
    </xf>
    <xf numFmtId="9" fontId="1" fillId="3" borderId="17" xfId="0" applyNumberFormat="1" applyFont="1" applyFill="1" applyBorder="1" applyAlignment="1">
      <alignment horizontal="center" vertical="top"/>
    </xf>
    <xf numFmtId="2" fontId="1" fillId="3" borderId="18" xfId="0" applyNumberFormat="1" applyFont="1" applyFill="1" applyBorder="1" applyAlignment="1">
      <alignment horizontal="center" vertical="top"/>
    </xf>
    <xf numFmtId="9" fontId="1" fillId="0" borderId="19" xfId="0" applyNumberFormat="1" applyFont="1" applyBorder="1" applyAlignment="1">
      <alignment horizontal="center" vertical="top"/>
    </xf>
    <xf numFmtId="0" fontId="1" fillId="3" borderId="9" xfId="0" applyFont="1" applyFill="1" applyBorder="1" applyAlignment="1">
      <alignment horizontal="center" vertical="top"/>
    </xf>
    <xf numFmtId="0" fontId="1" fillId="3" borderId="20" xfId="0" applyFont="1" applyFill="1" applyBorder="1" applyAlignment="1">
      <alignment horizontal="center" vertical="top"/>
    </xf>
    <xf numFmtId="9" fontId="1" fillId="3" borderId="20" xfId="0" applyNumberFormat="1" applyFont="1" applyFill="1" applyBorder="1" applyAlignment="1">
      <alignment horizontal="center" vertical="top"/>
    </xf>
    <xf numFmtId="2" fontId="1" fillId="3" borderId="21" xfId="0" applyNumberFormat="1" applyFont="1" applyFill="1" applyBorder="1" applyAlignment="1">
      <alignment horizontal="center" vertical="top"/>
    </xf>
    <xf numFmtId="9" fontId="1" fillId="0" borderId="22" xfId="0" applyNumberFormat="1" applyFont="1" applyBorder="1" applyAlignment="1">
      <alignment horizontal="center" vertical="top"/>
    </xf>
    <xf numFmtId="0" fontId="9" fillId="3" borderId="23" xfId="0" applyFont="1" applyFill="1" applyBorder="1" applyAlignment="1">
      <alignment horizontal="center" vertical="top"/>
    </xf>
    <xf numFmtId="0" fontId="9" fillId="3" borderId="24" xfId="0" applyFont="1" applyFill="1" applyBorder="1" applyAlignment="1">
      <alignment horizontal="center" vertical="top"/>
    </xf>
    <xf numFmtId="9" fontId="1" fillId="3" borderId="24" xfId="0" applyNumberFormat="1" applyFont="1" applyFill="1" applyBorder="1" applyAlignment="1">
      <alignment horizontal="center" vertical="top"/>
    </xf>
    <xf numFmtId="2" fontId="1" fillId="3" borderId="20" xfId="0" applyNumberFormat="1" applyFont="1" applyFill="1" applyBorder="1" applyAlignment="1">
      <alignment horizontal="center" vertical="top"/>
    </xf>
    <xf numFmtId="9" fontId="1" fillId="0" borderId="25" xfId="0" applyNumberFormat="1" applyFont="1" applyBorder="1" applyAlignment="1">
      <alignment horizontal="center" vertical="top"/>
    </xf>
    <xf numFmtId="0" fontId="10" fillId="4" borderId="26" xfId="0" applyFont="1" applyFill="1" applyBorder="1" applyAlignment="1">
      <alignment horizontal="center" vertical="top"/>
    </xf>
    <xf numFmtId="0" fontId="8" fillId="0" borderId="27" xfId="0" applyFont="1" applyBorder="1"/>
    <xf numFmtId="2" fontId="10" fillId="4" borderId="27" xfId="0" applyNumberFormat="1" applyFont="1" applyFill="1" applyBorder="1" applyAlignment="1">
      <alignment horizontal="center" vertical="top"/>
    </xf>
    <xf numFmtId="0" fontId="9" fillId="4" borderId="28" xfId="0" applyFont="1" applyFill="1" applyBorder="1" applyAlignment="1">
      <alignment horizontal="center" vertical="top"/>
    </xf>
    <xf numFmtId="0" fontId="2" fillId="0" borderId="0" xfId="0" applyFont="1"/>
    <xf numFmtId="9" fontId="2" fillId="0" borderId="0" xfId="0" applyNumberFormat="1" applyFont="1"/>
    <xf numFmtId="2" fontId="2" fillId="0" borderId="0" xfId="0" applyNumberFormat="1" applyFont="1"/>
    <xf numFmtId="0" fontId="3" fillId="3" borderId="0" xfId="0" applyFont="1" applyFill="1"/>
    <xf numFmtId="0" fontId="11" fillId="3" borderId="29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left"/>
    </xf>
    <xf numFmtId="9" fontId="12" fillId="3" borderId="29" xfId="0" applyNumberFormat="1" applyFont="1" applyFill="1" applyBorder="1" applyAlignment="1">
      <alignment horizontal="left"/>
    </xf>
    <xf numFmtId="0" fontId="2" fillId="0" borderId="30" xfId="0" applyFont="1" applyBorder="1" applyAlignment="1">
      <alignment horizontal="left"/>
    </xf>
    <xf numFmtId="178" fontId="13" fillId="0" borderId="30" xfId="0" applyNumberFormat="1" applyFont="1" applyBorder="1" applyAlignment="1">
      <alignment horizontal="right"/>
    </xf>
    <xf numFmtId="10" fontId="12" fillId="3" borderId="29" xfId="0" applyNumberFormat="1" applyFont="1" applyFill="1" applyBorder="1" applyAlignment="1">
      <alignment horizontal="left"/>
    </xf>
    <xf numFmtId="9" fontId="2" fillId="0" borderId="0" xfId="0" applyNumberFormat="1" applyFont="1" applyAlignment="1">
      <alignment horizontal="left"/>
    </xf>
    <xf numFmtId="0" fontId="14" fillId="0" borderId="0" xfId="0" applyFont="1"/>
    <xf numFmtId="0" fontId="3" fillId="0" borderId="0" xfId="0" applyFont="1" applyAlignment="1">
      <alignment horizontal="center"/>
    </xf>
    <xf numFmtId="179" fontId="2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0" fontId="2" fillId="0" borderId="30" xfId="0" applyFont="1" applyBorder="1"/>
    <xf numFmtId="0" fontId="12" fillId="3" borderId="30" xfId="0" applyFont="1" applyFill="1" applyBorder="1" applyAlignment="1">
      <alignment horizontal="left"/>
    </xf>
    <xf numFmtId="0" fontId="14" fillId="0" borderId="30" xfId="0" applyFont="1" applyBorder="1" applyAlignment="1">
      <alignment horizontal="left"/>
    </xf>
    <xf numFmtId="0" fontId="2" fillId="6" borderId="30" xfId="0" applyFont="1" applyFill="1" applyBorder="1" applyAlignment="1">
      <alignment horizontal="left"/>
    </xf>
    <xf numFmtId="180" fontId="2" fillId="0" borderId="0" xfId="0" applyNumberFormat="1" applyFont="1"/>
    <xf numFmtId="0" fontId="3" fillId="0" borderId="31" xfId="0" applyFont="1" applyBorder="1" applyAlignment="1">
      <alignment horizontal="center"/>
    </xf>
    <xf numFmtId="0" fontId="8" fillId="0" borderId="32" xfId="0" applyFont="1" applyBorder="1"/>
    <xf numFmtId="0" fontId="8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4" xfId="0" applyFont="1" applyBorder="1" applyAlignment="1">
      <alignment wrapText="1"/>
    </xf>
    <xf numFmtId="10" fontId="15" fillId="0" borderId="30" xfId="0" applyNumberFormat="1" applyFont="1" applyBorder="1" applyAlignment="1">
      <alignment horizontal="right"/>
    </xf>
    <xf numFmtId="10" fontId="15" fillId="0" borderId="36" xfId="0" applyNumberFormat="1" applyFont="1" applyBorder="1" applyAlignment="1">
      <alignment horizontal="right"/>
    </xf>
    <xf numFmtId="10" fontId="15" fillId="0" borderId="37" xfId="0" applyNumberFormat="1" applyFont="1" applyBorder="1" applyAlignment="1">
      <alignment horizontal="right"/>
    </xf>
    <xf numFmtId="10" fontId="15" fillId="0" borderId="38" xfId="0" applyNumberFormat="1" applyFont="1" applyBorder="1" applyAlignment="1">
      <alignment horizontal="right"/>
    </xf>
    <xf numFmtId="0" fontId="16" fillId="0" borderId="34" xfId="0" applyFont="1" applyBorder="1"/>
    <xf numFmtId="9" fontId="17" fillId="0" borderId="0" xfId="0" applyNumberFormat="1" applyFont="1" applyAlignment="1">
      <alignment horizontal="right"/>
    </xf>
    <xf numFmtId="0" fontId="16" fillId="0" borderId="39" xfId="0" applyFont="1" applyBorder="1"/>
    <xf numFmtId="0" fontId="2" fillId="0" borderId="40" xfId="0" applyFont="1" applyBorder="1"/>
    <xf numFmtId="0" fontId="2" fillId="0" borderId="38" xfId="0" applyFont="1" applyBorder="1"/>
    <xf numFmtId="0" fontId="18" fillId="0" borderId="0" xfId="0" applyFont="1"/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2" fontId="6" fillId="3" borderId="6" xfId="0" applyNumberFormat="1" applyFont="1" applyFill="1" applyBorder="1" applyAlignment="1">
      <alignment horizontal="left" vertical="center"/>
    </xf>
    <xf numFmtId="9" fontId="1" fillId="3" borderId="3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9" fontId="1" fillId="3" borderId="7" xfId="0" applyNumberFormat="1" applyFont="1" applyFill="1" applyBorder="1" applyAlignment="1">
      <alignment horizontal="left"/>
    </xf>
    <xf numFmtId="0" fontId="1" fillId="3" borderId="8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left" wrapText="1"/>
    </xf>
    <xf numFmtId="2" fontId="7" fillId="3" borderId="5" xfId="0" applyNumberFormat="1" applyFont="1" applyFill="1" applyBorder="1" applyAlignment="1">
      <alignment horizontal="left"/>
    </xf>
    <xf numFmtId="1" fontId="19" fillId="3" borderId="5" xfId="0" applyNumberFormat="1" applyFont="1" applyFill="1" applyBorder="1" applyAlignment="1">
      <alignment horizontal="left"/>
    </xf>
    <xf numFmtId="2" fontId="1" fillId="3" borderId="5" xfId="0" applyNumberFormat="1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2" fontId="1" fillId="3" borderId="11" xfId="0" applyNumberFormat="1" applyFont="1" applyFill="1" applyBorder="1" applyAlignment="1">
      <alignment horizontal="left"/>
    </xf>
    <xf numFmtId="0" fontId="7" fillId="5" borderId="41" xfId="0" applyFont="1" applyFill="1" applyBorder="1" applyAlignment="1">
      <alignment horizontal="left"/>
    </xf>
    <xf numFmtId="0" fontId="7" fillId="5" borderId="18" xfId="0" applyFont="1" applyFill="1" applyBorder="1" applyAlignment="1">
      <alignment horizontal="left"/>
    </xf>
    <xf numFmtId="2" fontId="7" fillId="5" borderId="18" xfId="0" applyNumberFormat="1" applyFont="1" applyFill="1" applyBorder="1" applyAlignment="1">
      <alignment horizontal="left"/>
    </xf>
    <xf numFmtId="9" fontId="1" fillId="5" borderId="19" xfId="0" applyNumberFormat="1" applyFont="1" applyFill="1" applyBorder="1" applyAlignment="1">
      <alignment horizontal="left"/>
    </xf>
    <xf numFmtId="9" fontId="1" fillId="3" borderId="2" xfId="0" applyNumberFormat="1" applyFont="1" applyFill="1" applyBorder="1" applyAlignment="1">
      <alignment horizontal="left"/>
    </xf>
    <xf numFmtId="2" fontId="1" fillId="3" borderId="42" xfId="0" applyNumberFormat="1" applyFont="1" applyFill="1" applyBorder="1" applyAlignment="1">
      <alignment horizontal="left"/>
    </xf>
    <xf numFmtId="9" fontId="1" fillId="0" borderId="3" xfId="0" applyNumberFormat="1" applyFont="1" applyBorder="1" applyAlignment="1">
      <alignment horizontal="left"/>
    </xf>
    <xf numFmtId="0" fontId="1" fillId="3" borderId="8" xfId="0" applyFont="1" applyFill="1" applyBorder="1" applyAlignment="1">
      <alignment horizontal="left"/>
    </xf>
    <xf numFmtId="0" fontId="1" fillId="3" borderId="43" xfId="0" applyFont="1" applyFill="1" applyBorder="1" applyAlignment="1">
      <alignment horizontal="left"/>
    </xf>
    <xf numFmtId="9" fontId="1" fillId="3" borderId="44" xfId="0" applyNumberFormat="1" applyFont="1" applyFill="1" applyBorder="1" applyAlignment="1">
      <alignment horizontal="left"/>
    </xf>
    <xf numFmtId="2" fontId="1" fillId="3" borderId="0" xfId="0" applyNumberFormat="1" applyFont="1" applyFill="1" applyAlignment="1">
      <alignment horizontal="left"/>
    </xf>
    <xf numFmtId="9" fontId="1" fillId="0" borderId="45" xfId="0" applyNumberFormat="1" applyFont="1" applyBorder="1" applyAlignment="1">
      <alignment horizontal="left"/>
    </xf>
    <xf numFmtId="0" fontId="9" fillId="3" borderId="23" xfId="0" applyFont="1" applyFill="1" applyBorder="1" applyAlignment="1">
      <alignment horizontal="left"/>
    </xf>
    <xf numFmtId="0" fontId="9" fillId="3" borderId="24" xfId="0" applyFont="1" applyFill="1" applyBorder="1" applyAlignment="1">
      <alignment horizontal="left"/>
    </xf>
    <xf numFmtId="9" fontId="1" fillId="3" borderId="24" xfId="0" applyNumberFormat="1" applyFont="1" applyFill="1" applyBorder="1" applyAlignment="1">
      <alignment horizontal="left"/>
    </xf>
    <xf numFmtId="2" fontId="1" fillId="3" borderId="20" xfId="0" applyNumberFormat="1" applyFont="1" applyFill="1" applyBorder="1" applyAlignment="1">
      <alignment horizontal="left"/>
    </xf>
    <xf numFmtId="9" fontId="1" fillId="0" borderId="25" xfId="0" applyNumberFormat="1" applyFont="1" applyBorder="1" applyAlignment="1">
      <alignment horizontal="left"/>
    </xf>
    <xf numFmtId="0" fontId="10" fillId="4" borderId="26" xfId="0" applyFont="1" applyFill="1" applyBorder="1" applyAlignment="1">
      <alignment horizontal="left"/>
    </xf>
    <xf numFmtId="2" fontId="10" fillId="4" borderId="27" xfId="0" applyNumberFormat="1" applyFont="1" applyFill="1" applyBorder="1" applyAlignment="1">
      <alignment horizontal="left"/>
    </xf>
    <xf numFmtId="0" fontId="9" fillId="4" borderId="28" xfId="0" applyFont="1" applyFill="1" applyBorder="1" applyAlignment="1">
      <alignment horizontal="left"/>
    </xf>
    <xf numFmtId="1" fontId="10" fillId="4" borderId="27" xfId="0" applyNumberFormat="1" applyFont="1" applyFill="1" applyBorder="1" applyAlignment="1">
      <alignment horizontal="left"/>
    </xf>
    <xf numFmtId="3" fontId="2" fillId="0" borderId="0" xfId="0" applyNumberFormat="1" applyFont="1"/>
    <xf numFmtId="0" fontId="20" fillId="0" borderId="40" xfId="0" applyFont="1" applyBorder="1"/>
    <xf numFmtId="0" fontId="20" fillId="0" borderId="0" xfId="0" applyFont="1"/>
    <xf numFmtId="0" fontId="20" fillId="0" borderId="0" xfId="0" applyFont="1" applyAlignment="1">
      <alignment horizontal="right"/>
    </xf>
    <xf numFmtId="10" fontId="20" fillId="0" borderId="0" xfId="0" applyNumberFormat="1" applyFont="1" applyAlignment="1">
      <alignment horizontal="right"/>
    </xf>
    <xf numFmtId="10" fontId="2" fillId="0" borderId="0" xfId="0" applyNumberFormat="1" applyFont="1"/>
    <xf numFmtId="0" fontId="0" fillId="0" borderId="0" xfId="0" applyFont="1"/>
    <xf numFmtId="0" fontId="21" fillId="0" borderId="46" xfId="0" applyFont="1" applyBorder="1" applyAlignment="1">
      <alignment horizontal="left"/>
    </xf>
    <xf numFmtId="1" fontId="22" fillId="7" borderId="4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21" fillId="3" borderId="48" xfId="0" applyFont="1" applyFill="1" applyBorder="1" applyAlignment="1">
      <alignment horizontal="left"/>
    </xf>
    <xf numFmtId="1" fontId="22" fillId="7" borderId="5" xfId="0" applyNumberFormat="1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left" vertical="center"/>
    </xf>
    <xf numFmtId="0" fontId="23" fillId="4" borderId="0" xfId="0" applyFont="1" applyFill="1" applyAlignment="1">
      <alignment horizontal="center" vertical="center"/>
    </xf>
    <xf numFmtId="0" fontId="23" fillId="4" borderId="50" xfId="0" applyFont="1" applyFill="1" applyBorder="1" applyAlignment="1">
      <alignment horizontal="center" vertical="center" wrapText="1"/>
    </xf>
    <xf numFmtId="0" fontId="23" fillId="4" borderId="51" xfId="0" applyFont="1" applyFill="1" applyBorder="1" applyAlignment="1">
      <alignment horizontal="center" vertical="center"/>
    </xf>
    <xf numFmtId="0" fontId="22" fillId="8" borderId="52" xfId="0" applyFont="1" applyFill="1" applyBorder="1" applyAlignment="1">
      <alignment horizontal="center" vertical="top" wrapText="1"/>
    </xf>
    <xf numFmtId="0" fontId="22" fillId="8" borderId="53" xfId="0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top"/>
    </xf>
    <xf numFmtId="0" fontId="22" fillId="3" borderId="55" xfId="0" applyFont="1" applyFill="1" applyBorder="1" applyAlignment="1">
      <alignment horizontal="center" vertical="top"/>
    </xf>
    <xf numFmtId="9" fontId="22" fillId="3" borderId="56" xfId="0" applyNumberFormat="1" applyFont="1" applyFill="1" applyBorder="1" applyAlignment="1">
      <alignment horizontal="center" vertical="top"/>
    </xf>
    <xf numFmtId="181" fontId="24" fillId="9" borderId="57" xfId="0" applyNumberFormat="1" applyFont="1" applyFill="1" applyBorder="1" applyAlignment="1">
      <alignment horizontal="left" vertical="center" wrapText="1"/>
    </xf>
    <xf numFmtId="0" fontId="22" fillId="8" borderId="58" xfId="0" applyFont="1" applyFill="1" applyBorder="1" applyAlignment="1">
      <alignment horizontal="center" vertical="top" wrapText="1"/>
    </xf>
    <xf numFmtId="0" fontId="22" fillId="8" borderId="59" xfId="0" applyFont="1" applyFill="1" applyBorder="1" applyAlignment="1">
      <alignment horizontal="center" vertical="center" wrapText="1"/>
    </xf>
    <xf numFmtId="0" fontId="22" fillId="7" borderId="60" xfId="0" applyFont="1" applyFill="1" applyBorder="1" applyAlignment="1">
      <alignment horizontal="center" vertical="top"/>
    </xf>
    <xf numFmtId="0" fontId="22" fillId="3" borderId="61" xfId="0" applyFont="1" applyFill="1" applyBorder="1" applyAlignment="1">
      <alignment horizontal="center" vertical="top"/>
    </xf>
    <xf numFmtId="9" fontId="22" fillId="3" borderId="24" xfId="0" applyNumberFormat="1" applyFont="1" applyFill="1" applyBorder="1" applyAlignment="1">
      <alignment horizontal="center" vertical="top"/>
    </xf>
    <xf numFmtId="181" fontId="24" fillId="9" borderId="57" xfId="0" applyNumberFormat="1" applyFont="1" applyFill="1" applyBorder="1" applyAlignment="1">
      <alignment vertical="center" wrapText="1"/>
    </xf>
    <xf numFmtId="0" fontId="24" fillId="10" borderId="58" xfId="0" applyFont="1" applyFill="1" applyBorder="1" applyAlignment="1">
      <alignment horizontal="center" wrapText="1"/>
    </xf>
    <xf numFmtId="0" fontId="22" fillId="7" borderId="60" xfId="0" applyFont="1" applyFill="1" applyBorder="1" applyAlignment="1">
      <alignment horizontal="center" vertical="center"/>
    </xf>
    <xf numFmtId="182" fontId="22" fillId="3" borderId="55" xfId="0" applyNumberFormat="1" applyFont="1" applyFill="1" applyBorder="1" applyAlignment="1">
      <alignment horizontal="center" vertical="top"/>
    </xf>
    <xf numFmtId="0" fontId="24" fillId="10" borderId="62" xfId="0" applyFont="1" applyFill="1" applyBorder="1" applyAlignment="1">
      <alignment horizontal="center" wrapText="1"/>
    </xf>
    <xf numFmtId="0" fontId="22" fillId="8" borderId="63" xfId="0" applyFont="1" applyFill="1" applyBorder="1" applyAlignment="1">
      <alignment horizontal="center" vertical="center" wrapText="1"/>
    </xf>
    <xf numFmtId="2" fontId="22" fillId="11" borderId="44" xfId="0" applyNumberFormat="1" applyFont="1" applyFill="1" applyBorder="1" applyAlignment="1">
      <alignment horizontal="center" vertical="top"/>
    </xf>
    <xf numFmtId="0" fontId="21" fillId="12" borderId="57" xfId="0" applyFont="1" applyFill="1" applyBorder="1" applyAlignment="1">
      <alignment horizontal="center" vertical="top" wrapText="1"/>
    </xf>
    <xf numFmtId="0" fontId="21" fillId="12" borderId="64" xfId="0" applyFont="1" applyFill="1" applyBorder="1" applyAlignment="1">
      <alignment horizontal="center" vertical="top" wrapText="1"/>
    </xf>
    <xf numFmtId="0" fontId="21" fillId="12" borderId="65" xfId="0" applyFont="1" applyFill="1" applyBorder="1" applyAlignment="1">
      <alignment horizontal="center" vertical="top"/>
    </xf>
    <xf numFmtId="2" fontId="21" fillId="12" borderId="66" xfId="0" applyNumberFormat="1" applyFont="1" applyFill="1" applyBorder="1" applyAlignment="1">
      <alignment horizontal="center" vertical="top"/>
    </xf>
    <xf numFmtId="9" fontId="22" fillId="12" borderId="57" xfId="0" applyNumberFormat="1" applyFont="1" applyFill="1" applyBorder="1" applyAlignment="1">
      <alignment horizontal="center" vertical="top"/>
    </xf>
    <xf numFmtId="0" fontId="22" fillId="3" borderId="67" xfId="0" applyFont="1" applyFill="1" applyBorder="1" applyAlignment="1">
      <alignment horizontal="center" vertical="top" wrapText="1"/>
    </xf>
    <xf numFmtId="0" fontId="22" fillId="3" borderId="68" xfId="0" applyFont="1" applyFill="1" applyBorder="1" applyAlignment="1">
      <alignment horizontal="center" vertical="center" wrapText="1"/>
    </xf>
    <xf numFmtId="9" fontId="22" fillId="7" borderId="69" xfId="0" applyNumberFormat="1" applyFont="1" applyFill="1" applyBorder="1" applyAlignment="1">
      <alignment horizontal="center" vertical="top"/>
    </xf>
    <xf numFmtId="2" fontId="22" fillId="3" borderId="70" xfId="0" applyNumberFormat="1" applyFont="1" applyFill="1" applyBorder="1" applyAlignment="1">
      <alignment horizontal="center" vertical="top"/>
    </xf>
    <xf numFmtId="9" fontId="22" fillId="0" borderId="70" xfId="0" applyNumberFormat="1" applyFont="1" applyBorder="1" applyAlignment="1">
      <alignment horizontal="center" vertical="top"/>
    </xf>
    <xf numFmtId="0" fontId="25" fillId="13" borderId="57" xfId="0" applyFont="1" applyFill="1" applyBorder="1" applyAlignment="1">
      <alignment horizontal="left" vertical="center" wrapText="1"/>
    </xf>
    <xf numFmtId="0" fontId="22" fillId="3" borderId="71" xfId="0" applyFont="1" applyFill="1" applyBorder="1" applyAlignment="1">
      <alignment horizontal="center" vertical="top" wrapText="1"/>
    </xf>
    <xf numFmtId="0" fontId="22" fillId="3" borderId="21" xfId="0" applyFont="1" applyFill="1" applyBorder="1" applyAlignment="1">
      <alignment horizontal="center" vertical="center" wrapText="1"/>
    </xf>
    <xf numFmtId="9" fontId="22" fillId="3" borderId="54" xfId="0" applyNumberFormat="1" applyFont="1" applyFill="1" applyBorder="1" applyAlignment="1">
      <alignment horizontal="center" vertical="top"/>
    </xf>
    <xf numFmtId="2" fontId="22" fillId="3" borderId="57" xfId="0" applyNumberFormat="1" applyFont="1" applyFill="1" applyBorder="1" applyAlignment="1">
      <alignment horizontal="center" vertical="top"/>
    </xf>
    <xf numFmtId="9" fontId="22" fillId="0" borderId="57" xfId="0" applyNumberFormat="1" applyFont="1" applyBorder="1" applyAlignment="1">
      <alignment horizontal="center" vertical="top"/>
    </xf>
    <xf numFmtId="0" fontId="25" fillId="13" borderId="72" xfId="0" applyFont="1" applyFill="1" applyBorder="1"/>
    <xf numFmtId="0" fontId="26" fillId="3" borderId="58" xfId="0" applyFont="1" applyFill="1" applyBorder="1" applyAlignment="1">
      <alignment horizontal="center" vertical="top" wrapText="1"/>
    </xf>
    <xf numFmtId="0" fontId="22" fillId="3" borderId="57" xfId="0" applyFont="1" applyFill="1" applyBorder="1" applyAlignment="1">
      <alignment horizontal="center" vertical="center" wrapText="1"/>
    </xf>
    <xf numFmtId="9" fontId="22" fillId="7" borderId="73" xfId="0" applyNumberFormat="1" applyFont="1" applyFill="1" applyBorder="1" applyAlignment="1">
      <alignment horizontal="center" vertical="top"/>
    </xf>
    <xf numFmtId="0" fontId="25" fillId="13" borderId="74" xfId="0" applyFont="1" applyFill="1" applyBorder="1"/>
    <xf numFmtId="0" fontId="23" fillId="4" borderId="57" xfId="0" applyFont="1" applyFill="1" applyBorder="1" applyAlignment="1">
      <alignment horizontal="left" vertical="top"/>
    </xf>
    <xf numFmtId="0" fontId="27" fillId="0" borderId="57" xfId="0" applyFont="1" applyBorder="1" applyAlignment="1">
      <alignment horizontal="left"/>
    </xf>
    <xf numFmtId="181" fontId="28" fillId="4" borderId="64" xfId="0" applyNumberFormat="1" applyFont="1" applyFill="1" applyBorder="1" applyAlignment="1">
      <alignment horizontal="center" vertical="top"/>
    </xf>
    <xf numFmtId="181" fontId="28" fillId="4" borderId="65" xfId="0" applyNumberFormat="1" applyFont="1" applyFill="1" applyBorder="1" applyAlignment="1">
      <alignment horizontal="center" vertical="top"/>
    </xf>
    <xf numFmtId="181" fontId="28" fillId="4" borderId="75" xfId="0" applyNumberFormat="1" applyFont="1" applyFill="1" applyBorder="1" applyAlignment="1">
      <alignment horizontal="center" vertical="top"/>
    </xf>
    <xf numFmtId="2" fontId="28" fillId="4" borderId="64" xfId="0" applyNumberFormat="1" applyFont="1" applyFill="1" applyBorder="1" applyAlignment="1">
      <alignment horizontal="center" vertical="top"/>
    </xf>
    <xf numFmtId="2" fontId="28" fillId="4" borderId="65" xfId="0" applyNumberFormat="1" applyFont="1" applyFill="1" applyBorder="1" applyAlignment="1">
      <alignment horizontal="center" vertical="top"/>
    </xf>
    <xf numFmtId="2" fontId="28" fillId="4" borderId="75" xfId="0" applyNumberFormat="1" applyFont="1" applyFill="1" applyBorder="1" applyAlignment="1">
      <alignment horizontal="center" vertical="top"/>
    </xf>
    <xf numFmtId="0" fontId="0" fillId="0" borderId="74" xfId="0" applyFont="1" applyBorder="1"/>
    <xf numFmtId="0" fontId="25" fillId="13" borderId="51" xfId="0" applyFont="1" applyFill="1" applyBorder="1"/>
    <xf numFmtId="0" fontId="17" fillId="3" borderId="29" xfId="0" applyFont="1" applyFill="1" applyBorder="1" applyAlignment="1">
      <alignment horizontal="center"/>
    </xf>
    <xf numFmtId="0" fontId="17" fillId="3" borderId="76" xfId="0" applyFont="1" applyFill="1" applyBorder="1"/>
    <xf numFmtId="0" fontId="17" fillId="3" borderId="76" xfId="0" applyFont="1" applyFill="1" applyBorder="1" applyAlignment="1">
      <alignment horizontal="center"/>
    </xf>
    <xf numFmtId="0" fontId="29" fillId="3" borderId="77" xfId="0" applyFont="1" applyFill="1" applyBorder="1"/>
    <xf numFmtId="9" fontId="17" fillId="3" borderId="78" xfId="0" applyNumberFormat="1" applyFont="1" applyFill="1" applyBorder="1"/>
    <xf numFmtId="9" fontId="29" fillId="3" borderId="78" xfId="0" applyNumberFormat="1" applyFont="1" applyFill="1" applyBorder="1"/>
    <xf numFmtId="0" fontId="2" fillId="0" borderId="0" xfId="0" applyFont="1" applyAlignment="1">
      <alignment horizontal="center"/>
    </xf>
    <xf numFmtId="0" fontId="17" fillId="0" borderId="0" xfId="0" applyFont="1"/>
    <xf numFmtId="0" fontId="29" fillId="3" borderId="37" xfId="0" applyFont="1" applyFill="1" applyBorder="1"/>
    <xf numFmtId="0" fontId="17" fillId="0" borderId="35" xfId="0" applyFont="1" applyBorder="1"/>
    <xf numFmtId="178" fontId="17" fillId="0" borderId="0" xfId="0" applyNumberFormat="1" applyFont="1" applyAlignment="1">
      <alignment horizontal="right"/>
    </xf>
    <xf numFmtId="0" fontId="17" fillId="3" borderId="35" xfId="0" applyFont="1" applyFill="1" applyBorder="1"/>
    <xf numFmtId="0" fontId="29" fillId="3" borderId="30" xfId="0" applyFont="1" applyFill="1" applyBorder="1"/>
    <xf numFmtId="0" fontId="30" fillId="0" borderId="36" xfId="0" applyFont="1" applyBorder="1"/>
    <xf numFmtId="0" fontId="17" fillId="0" borderId="38" xfId="0" applyFont="1" applyBorder="1" applyAlignment="1">
      <alignment horizontal="right"/>
    </xf>
    <xf numFmtId="0" fontId="29" fillId="3" borderId="37" xfId="0" applyFont="1" applyFill="1" applyBorder="1" applyProtection="1">
      <protection locked="0"/>
    </xf>
    <xf numFmtId="0" fontId="17" fillId="0" borderId="38" xfId="0" applyFont="1" applyBorder="1" applyAlignment="1" applyProtection="1">
      <alignment horizontal="right"/>
      <protection locked="0"/>
    </xf>
    <xf numFmtId="0" fontId="29" fillId="3" borderId="79" xfId="0" applyFont="1" applyFill="1" applyBorder="1"/>
    <xf numFmtId="0" fontId="17" fillId="0" borderId="80" xfId="0" applyFont="1" applyBorder="1"/>
    <xf numFmtId="0" fontId="17" fillId="0" borderId="0" xfId="0" applyFont="1" applyAlignment="1">
      <alignment horizontal="right"/>
    </xf>
    <xf numFmtId="183" fontId="17" fillId="0" borderId="0" xfId="0" applyNumberFormat="1" applyFont="1" applyAlignment="1">
      <alignment horizontal="right"/>
    </xf>
    <xf numFmtId="9" fontId="29" fillId="3" borderId="77" xfId="0" applyNumberFormat="1" applyFont="1" applyFill="1" applyBorder="1"/>
    <xf numFmtId="0" fontId="17" fillId="3" borderId="0" xfId="0" applyFont="1" applyFill="1"/>
    <xf numFmtId="0" fontId="1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9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14" borderId="0" xfId="0" applyFont="1" applyFill="1"/>
    <xf numFmtId="9" fontId="2" fillId="14" borderId="0" xfId="0" applyNumberFormat="1" applyFont="1" applyFill="1" applyAlignment="1">
      <alignment horizontal="center"/>
    </xf>
    <xf numFmtId="176" fontId="2" fillId="14" borderId="0" xfId="0" applyNumberFormat="1" applyFont="1" applyFill="1" applyAlignment="1">
      <alignment horizontal="center"/>
    </xf>
    <xf numFmtId="0" fontId="2" fillId="15" borderId="0" xfId="0" applyFont="1" applyFill="1" applyAlignment="1">
      <alignment horizontal="center"/>
    </xf>
    <xf numFmtId="0" fontId="2" fillId="15" borderId="0" xfId="0" applyFont="1" applyFill="1" applyAlignment="1">
      <alignment horizontal="center" vertical="center" wrapText="1"/>
    </xf>
    <xf numFmtId="184" fontId="2" fillId="0" borderId="0" xfId="0" applyNumberFormat="1" applyFont="1"/>
    <xf numFmtId="0" fontId="2" fillId="15" borderId="0" xfId="0" applyFont="1" applyFill="1"/>
    <xf numFmtId="3" fontId="2" fillId="15" borderId="0" xfId="0" applyNumberFormat="1" applyFont="1" applyFill="1"/>
    <xf numFmtId="184" fontId="2" fillId="14" borderId="0" xfId="0" applyNumberFormat="1" applyFont="1" applyFill="1"/>
    <xf numFmtId="0" fontId="1" fillId="3" borderId="5" xfId="0" applyFont="1" applyFill="1" applyBorder="1" applyAlignment="1">
      <alignment horizontal="center" vertical="center" wrapText="1"/>
    </xf>
    <xf numFmtId="176" fontId="17" fillId="0" borderId="0" xfId="0" applyNumberFormat="1" applyFont="1" applyAlignment="1">
      <alignment horizontal="center"/>
    </xf>
    <xf numFmtId="0" fontId="1" fillId="15" borderId="0" xfId="0" applyFont="1" applyFill="1" applyAlignment="1">
      <alignment horizontal="center" wrapText="1"/>
    </xf>
    <xf numFmtId="0" fontId="1" fillId="15" borderId="0" xfId="0" applyFont="1" applyFill="1" applyAlignment="1">
      <alignment horizontal="center"/>
    </xf>
    <xf numFmtId="0" fontId="2" fillId="15" borderId="0" xfId="0" applyFont="1" applyFill="1" applyAlignment="1">
      <alignment horizontal="center" vertical="center"/>
    </xf>
    <xf numFmtId="0" fontId="3" fillId="0" borderId="0" xfId="0" applyFont="1"/>
    <xf numFmtId="3" fontId="20" fillId="0" borderId="0" xfId="0" applyNumberFormat="1" applyFont="1"/>
    <xf numFmtId="3" fontId="31" fillId="3" borderId="0" xfId="0" applyNumberFormat="1" applyFont="1" applyFill="1"/>
    <xf numFmtId="3" fontId="32" fillId="3" borderId="0" xfId="0" applyNumberFormat="1" applyFont="1" applyFill="1"/>
    <xf numFmtId="0" fontId="32" fillId="3" borderId="0" xfId="0" applyFont="1" applyFill="1"/>
    <xf numFmtId="0" fontId="33" fillId="0" borderId="0" xfId="0" applyFont="1"/>
    <xf numFmtId="3" fontId="33" fillId="0" borderId="0" xfId="0" applyNumberFormat="1" applyFont="1"/>
    <xf numFmtId="3" fontId="34" fillId="16" borderId="0" xfId="0" applyNumberFormat="1" applyFont="1" applyFill="1" applyAlignment="1">
      <alignment horizontal="right"/>
    </xf>
    <xf numFmtId="3" fontId="35" fillId="16" borderId="0" xfId="0" applyNumberFormat="1" applyFont="1" applyFill="1"/>
    <xf numFmtId="3" fontId="36" fillId="3" borderId="0" xfId="0" applyNumberFormat="1" applyFont="1" applyFill="1" applyAlignment="1">
      <alignment horizontal="left"/>
    </xf>
    <xf numFmtId="0" fontId="36" fillId="3" borderId="0" xfId="0" applyFont="1" applyFill="1" applyAlignment="1">
      <alignment horizontal="left"/>
    </xf>
    <xf numFmtId="3" fontId="37" fillId="0" borderId="0" xfId="0" applyNumberFormat="1" applyFont="1" applyAlignment="1">
      <alignment horizontal="center"/>
    </xf>
    <xf numFmtId="3" fontId="38" fillId="3" borderId="0" xfId="0" applyNumberFormat="1" applyFont="1" applyFill="1"/>
    <xf numFmtId="3" fontId="2" fillId="0" borderId="0" xfId="0" applyNumberFormat="1" applyFont="1" applyAlignment="1">
      <alignment wrapText="1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3" fontId="2" fillId="0" borderId="34" xfId="0" applyNumberFormat="1" applyFont="1" applyBorder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3" fontId="2" fillId="0" borderId="35" xfId="0" applyNumberFormat="1" applyFont="1" applyBorder="1"/>
    <xf numFmtId="3" fontId="15" fillId="0" borderId="0" xfId="0" applyNumberFormat="1" applyFont="1" applyAlignment="1">
      <alignment horizontal="center"/>
    </xf>
    <xf numFmtId="3" fontId="2" fillId="0" borderId="39" xfId="0" applyNumberFormat="1" applyFont="1" applyBorder="1"/>
    <xf numFmtId="0" fontId="15" fillId="0" borderId="0" xfId="0" applyFont="1" applyAlignment="1">
      <alignment horizontal="right"/>
    </xf>
    <xf numFmtId="3" fontId="2" fillId="0" borderId="38" xfId="0" applyNumberFormat="1" applyFont="1" applyBorder="1"/>
    <xf numFmtId="0" fontId="1" fillId="0" borderId="0" xfId="0" applyFont="1" applyAlignment="1">
      <alignment horizontal="center"/>
    </xf>
    <xf numFmtId="0" fontId="1" fillId="2" borderId="0" xfId="0" applyFont="1" applyFill="1"/>
    <xf numFmtId="0" fontId="5" fillId="3" borderId="0" xfId="0" applyFont="1" applyFill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17" borderId="2" xfId="0" applyFont="1" applyFill="1" applyBorder="1" applyAlignment="1">
      <alignment horizontal="center"/>
    </xf>
    <xf numFmtId="9" fontId="1" fillId="3" borderId="3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17" borderId="5" xfId="0" applyFont="1" applyFill="1" applyBorder="1" applyAlignment="1">
      <alignment horizontal="center"/>
    </xf>
    <xf numFmtId="9" fontId="1" fillId="3" borderId="7" xfId="0" applyNumberFormat="1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/>
    </xf>
    <xf numFmtId="10" fontId="1" fillId="3" borderId="5" xfId="0" applyNumberFormat="1" applyFont="1" applyFill="1" applyBorder="1" applyAlignment="1">
      <alignment horizontal="center"/>
    </xf>
    <xf numFmtId="1" fontId="1" fillId="17" borderId="5" xfId="0" applyNumberFormat="1" applyFont="1" applyFill="1" applyBorder="1" applyAlignment="1">
      <alignment horizontal="center"/>
    </xf>
    <xf numFmtId="9" fontId="1" fillId="2" borderId="7" xfId="0" applyNumberFormat="1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2" fontId="1" fillId="3" borderId="11" xfId="0" applyNumberFormat="1" applyFont="1" applyFill="1" applyBorder="1" applyAlignment="1">
      <alignment horizontal="center"/>
    </xf>
    <xf numFmtId="0" fontId="7" fillId="5" borderId="41" xfId="0" applyFont="1" applyFill="1" applyBorder="1" applyAlignment="1">
      <alignment horizontal="center"/>
    </xf>
    <xf numFmtId="0" fontId="8" fillId="0" borderId="18" xfId="0" applyFont="1" applyBorder="1"/>
    <xf numFmtId="0" fontId="7" fillId="5" borderId="18" xfId="0" applyFont="1" applyFill="1" applyBorder="1" applyAlignment="1">
      <alignment horizontal="center"/>
    </xf>
    <xf numFmtId="2" fontId="7" fillId="5" borderId="18" xfId="0" applyNumberFormat="1" applyFont="1" applyFill="1" applyBorder="1" applyAlignment="1">
      <alignment horizontal="center"/>
    </xf>
    <xf numFmtId="9" fontId="1" fillId="5" borderId="19" xfId="0" applyNumberFormat="1" applyFont="1" applyFill="1" applyBorder="1" applyAlignment="1">
      <alignment horizontal="center"/>
    </xf>
    <xf numFmtId="9" fontId="1" fillId="3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9" fontId="1" fillId="0" borderId="3" xfId="0" applyNumberFormat="1" applyFont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/>
    </xf>
    <xf numFmtId="9" fontId="1" fillId="17" borderId="43" xfId="0" applyNumberFormat="1" applyFont="1" applyFill="1" applyBorder="1" applyAlignment="1">
      <alignment horizontal="center"/>
    </xf>
    <xf numFmtId="2" fontId="1" fillId="3" borderId="43" xfId="0" applyNumberFormat="1" applyFont="1" applyFill="1" applyBorder="1" applyAlignment="1">
      <alignment horizontal="center"/>
    </xf>
    <xf numFmtId="9" fontId="1" fillId="0" borderId="25" xfId="0" applyNumberFormat="1" applyFont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2" fontId="10" fillId="4" borderId="27" xfId="0" applyNumberFormat="1" applyFont="1" applyFill="1" applyBorder="1" applyAlignment="1">
      <alignment horizontal="center"/>
    </xf>
    <xf numFmtId="0" fontId="9" fillId="4" borderId="28" xfId="0" applyFont="1" applyFill="1" applyBorder="1"/>
    <xf numFmtId="1" fontId="10" fillId="4" borderId="27" xfId="0" applyNumberFormat="1" applyFont="1" applyFill="1" applyBorder="1" applyAlignment="1">
      <alignment horizontal="center"/>
    </xf>
    <xf numFmtId="9" fontId="4" fillId="17" borderId="27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0" borderId="81" xfId="0" applyFont="1" applyBorder="1"/>
    <xf numFmtId="0" fontId="2" fillId="0" borderId="81" xfId="0" applyFont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9" fontId="12" fillId="7" borderId="29" xfId="0" applyNumberFormat="1" applyFont="1" applyFill="1" applyBorder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41</xdr:row>
      <xdr:rowOff>0</xdr:rowOff>
    </xdr:from>
    <xdr:ext cx="9705975" cy="48196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288415" y="7826375"/>
          <a:ext cx="9705975" cy="48196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0</xdr:row>
      <xdr:rowOff>0</xdr:rowOff>
    </xdr:from>
    <xdr:ext cx="5553075" cy="12200255"/>
    <xdr:pic>
      <xdr:nvPicPr>
        <xdr:cNvPr id="3" name="image9.jpg" title="图片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9770745" y="0"/>
          <a:ext cx="5553075" cy="1220025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41</xdr:row>
      <xdr:rowOff>0</xdr:rowOff>
    </xdr:from>
    <xdr:ext cx="9705975" cy="48196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288415" y="7826375"/>
          <a:ext cx="9705975" cy="48196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714375</xdr:colOff>
      <xdr:row>0</xdr:row>
      <xdr:rowOff>0</xdr:rowOff>
    </xdr:from>
    <xdr:ext cx="5467350" cy="11981180"/>
    <xdr:pic>
      <xdr:nvPicPr>
        <xdr:cNvPr id="3" name="image6.jpg" title="图片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1369675" y="0"/>
          <a:ext cx="5467350" cy="1198118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41</xdr:row>
      <xdr:rowOff>0</xdr:rowOff>
    </xdr:from>
    <xdr:ext cx="9705975" cy="481965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288415" y="7826375"/>
          <a:ext cx="9705975" cy="481965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85725</xdr:colOff>
      <xdr:row>0</xdr:row>
      <xdr:rowOff>0</xdr:rowOff>
    </xdr:from>
    <xdr:ext cx="5734050" cy="12543155"/>
    <xdr:pic>
      <xdr:nvPicPr>
        <xdr:cNvPr id="3" name="image10.jpg" title="图片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1625580" y="0"/>
          <a:ext cx="5734050" cy="1254315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45</xdr:row>
      <xdr:rowOff>180975</xdr:rowOff>
    </xdr:from>
    <xdr:ext cx="6781800" cy="3623945"/>
    <xdr:pic>
      <xdr:nvPicPr>
        <xdr:cNvPr id="2" name="image7.png" title="图片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8902700"/>
          <a:ext cx="6781800" cy="362394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58</xdr:row>
      <xdr:rowOff>19050</xdr:rowOff>
    </xdr:from>
    <xdr:ext cx="7181850" cy="2189480"/>
    <xdr:pic>
      <xdr:nvPicPr>
        <xdr:cNvPr id="2" name="image11.png" title="图片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1725275"/>
          <a:ext cx="7181850" cy="218948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jumia-global.com.cn/collegeLib/236536?subCateId=236441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6" Type="http://schemas.openxmlformats.org/officeDocument/2006/relationships/hyperlink" Target="https://docs.google.com/spreadsheets/d/12OR-V8E343QotNXaTSUZCsiqSFL1zm0h/edit?usp=drive_link&amp;ouid=100748726936609247024&amp;rtpof=true&amp;sd=true" TargetMode="External"/><Relationship Id="rId5" Type="http://schemas.openxmlformats.org/officeDocument/2006/relationships/hyperlink" Target="https://jumia-global.com.cn/collegeLib/236536?subCateId=236441" TargetMode="External"/><Relationship Id="rId4" Type="http://schemas.openxmlformats.org/officeDocument/2006/relationships/hyperlink" Target="https://docs.google.com/spreadsheets/d/1omptq3iIUBeV93p6e2-jbrSpwLlWexRiNUMUeVKwR-w/edit" TargetMode="External"/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4" Type="http://schemas.openxmlformats.org/officeDocument/2006/relationships/hyperlink" Target="https://drive.google.com/file/d/12OR-V8E343QotNXaTSUZCsiqSFL1zm0h/view?usp=docs_web" TargetMode="External"/><Relationship Id="rId3" Type="http://schemas.openxmlformats.org/officeDocument/2006/relationships/hyperlink" Target="https://jumia-global.com.cn/collegeLib/236536?subCateId=236441" TargetMode="External"/><Relationship Id="rId2" Type="http://schemas.openxmlformats.org/officeDocument/2006/relationships/hyperlink" Target="https://docs.google.com/spreadsheets/d/1omptq3iIUBeV93p6e2-jbrSpwLlWexRiNUMUeVKwR-w/edit" TargetMode="External"/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jumia-global.com.cn/collegeLib/236536?subCateId=236441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jumia-global.com.cn/collegeLib/236536?subCateId=236441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jumia.com.ng/fashion-trendy-mens-casual-shoes-glossy-leather-running-sneakers-black-105588013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OvB2YjEqKcQLjWc2xa4RF4y0ocP-l2ZU2S-wDQPj4yQ/edit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jumia-global.com.cn/collegeLib/236536?subCateId=236441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app.powerbi.com/groups/e54bcaf0-c823-4267-9233-8d36549c1445/reports/1a0ba469-3808-4629-a9e7-019a66c4572a/ReportSection295e34187cce4da18740?language=en-US&amp;experience=power-bi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570S5fPNfBQDclqog0S0ny63ZzG4VVHsYJYIgb61nT4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41"/>
  <sheetViews>
    <sheetView workbookViewId="0">
      <selection activeCell="A1" sqref="A1"/>
    </sheetView>
  </sheetViews>
  <sheetFormatPr defaultColWidth="12.6636363636364" defaultRowHeight="15.75" customHeight="1"/>
  <cols>
    <col min="1" max="1" width="18.4454545454545" customWidth="1"/>
    <col min="2" max="2" width="31.3363636363636" customWidth="1"/>
    <col min="3" max="3" width="7.66363636363636" customWidth="1"/>
    <col min="5" max="5" width="15.4454545454545" customWidth="1"/>
    <col min="6" max="6" width="16.3363636363636" customWidth="1"/>
  </cols>
  <sheetData>
    <row r="1" ht="14.5" spans="1:2">
      <c r="A1" s="258" t="s">
        <v>0</v>
      </c>
      <c r="B1" s="259" t="s">
        <v>1</v>
      </c>
    </row>
    <row r="2" ht="14.5" spans="1:2">
      <c r="A2" s="258" t="s">
        <v>2</v>
      </c>
      <c r="B2" s="259" t="s">
        <v>3</v>
      </c>
    </row>
    <row r="3" ht="14.5" spans="1:2">
      <c r="A3" s="52" t="s">
        <v>4</v>
      </c>
      <c r="B3" s="259" t="s">
        <v>5</v>
      </c>
    </row>
    <row r="4" ht="14.5" spans="1:4">
      <c r="A4" s="260"/>
      <c r="B4" s="260"/>
      <c r="C4" s="260"/>
      <c r="D4" s="7" t="s">
        <v>6</v>
      </c>
    </row>
    <row r="5" ht="15.25" spans="1:5">
      <c r="A5" s="7" t="s">
        <v>7</v>
      </c>
      <c r="B5" s="7" t="s">
        <v>8</v>
      </c>
      <c r="C5" s="7"/>
      <c r="D5" s="7" t="s">
        <v>9</v>
      </c>
      <c r="E5" s="7" t="s">
        <v>10</v>
      </c>
    </row>
    <row r="6" ht="19.5" customHeight="1" spans="1:5">
      <c r="A6" s="261">
        <v>1</v>
      </c>
      <c r="B6" s="262" t="s">
        <v>11</v>
      </c>
      <c r="C6" s="262"/>
      <c r="D6" s="263">
        <v>1</v>
      </c>
      <c r="E6" s="264">
        <f t="shared" ref="E6:E7" si="0">D6/$D$15</f>
        <v>0.421052631578947</v>
      </c>
    </row>
    <row r="7" ht="19.5" customHeight="1" spans="1:5">
      <c r="A7" s="265">
        <v>2</v>
      </c>
      <c r="B7" s="266" t="s">
        <v>12</v>
      </c>
      <c r="C7" s="266"/>
      <c r="D7" s="267">
        <v>0.5</v>
      </c>
      <c r="E7" s="268">
        <f t="shared" si="0"/>
        <v>0.210526315789474</v>
      </c>
    </row>
    <row r="8" ht="19.5" customHeight="1" spans="1:5">
      <c r="A8" s="269">
        <v>3</v>
      </c>
      <c r="B8" s="266" t="s">
        <v>13</v>
      </c>
      <c r="C8" s="270"/>
      <c r="D8" s="270">
        <f>D9+D10+D11</f>
        <v>0.4</v>
      </c>
      <c r="E8" s="268"/>
    </row>
    <row r="9" ht="19.5" customHeight="1" spans="1:5">
      <c r="A9" s="22"/>
      <c r="B9" s="266" t="s">
        <v>14</v>
      </c>
      <c r="C9" s="271">
        <f>VLOOKUP(B1,F30:G37,2,0)</f>
        <v>0.075</v>
      </c>
      <c r="D9" s="270">
        <v>0</v>
      </c>
      <c r="E9" s="268">
        <f t="shared" ref="E9:E11" si="1">D9/$D$15</f>
        <v>0</v>
      </c>
    </row>
    <row r="10" ht="19.5" customHeight="1" spans="1:5">
      <c r="A10" s="22"/>
      <c r="B10" s="266" t="s">
        <v>15</v>
      </c>
      <c r="C10" s="272">
        <v>90</v>
      </c>
      <c r="D10" s="270">
        <v>0</v>
      </c>
      <c r="E10" s="273">
        <f t="shared" si="1"/>
        <v>0</v>
      </c>
    </row>
    <row r="11" ht="19.5" customHeight="1" spans="1:5">
      <c r="A11" s="25"/>
      <c r="B11" s="274" t="s">
        <v>16</v>
      </c>
      <c r="C11" s="275"/>
      <c r="D11" s="275">
        <f>VLOOKUP(B2,F23:H26,3,0)</f>
        <v>0.4</v>
      </c>
      <c r="E11" s="268">
        <f t="shared" si="1"/>
        <v>0.168421052631579</v>
      </c>
    </row>
    <row r="12" ht="19.5" customHeight="1" spans="1:5">
      <c r="A12" s="276" t="s">
        <v>17</v>
      </c>
      <c r="B12" s="277"/>
      <c r="C12" s="278"/>
      <c r="D12" s="279">
        <f>D6+D7+D8</f>
        <v>1.9</v>
      </c>
      <c r="E12" s="280"/>
    </row>
    <row r="13" ht="19.5" customHeight="1" spans="1:5">
      <c r="A13" s="261">
        <v>4</v>
      </c>
      <c r="B13" s="262" t="s">
        <v>18</v>
      </c>
      <c r="C13" s="281">
        <f>VLOOKUP(B3,B21:D39,3,0)</f>
        <v>0.2</v>
      </c>
      <c r="D13" s="282">
        <f>D12*C13</f>
        <v>0.38</v>
      </c>
      <c r="E13" s="283">
        <f t="shared" ref="E13:E14" si="2">D13/$D$15</f>
        <v>0.16</v>
      </c>
    </row>
    <row r="14" ht="19.5" customHeight="1" spans="1:5">
      <c r="A14" s="284">
        <v>5</v>
      </c>
      <c r="B14" s="285" t="s">
        <v>19</v>
      </c>
      <c r="C14" s="286">
        <v>0.05</v>
      </c>
      <c r="D14" s="287">
        <f>D12*C14</f>
        <v>0.095</v>
      </c>
      <c r="E14" s="288">
        <f t="shared" si="2"/>
        <v>0.04</v>
      </c>
    </row>
    <row r="15" ht="19.5" customHeight="1" spans="1:5">
      <c r="A15" s="289" t="s">
        <v>20</v>
      </c>
      <c r="B15" s="49"/>
      <c r="C15" s="290"/>
      <c r="D15" s="290">
        <f>D12+D13+D14</f>
        <v>2.375</v>
      </c>
      <c r="E15" s="291"/>
    </row>
    <row r="16" ht="17" spans="1:5">
      <c r="A16" s="289" t="s">
        <v>21</v>
      </c>
      <c r="B16" s="49"/>
      <c r="C16" s="290">
        <f>VLOOKUP(B1,I30:J37,2,0)</f>
        <v>800</v>
      </c>
      <c r="D16" s="292">
        <f>D15*800</f>
        <v>1900</v>
      </c>
      <c r="E16" s="291"/>
    </row>
    <row r="17" ht="17" spans="1:4">
      <c r="A17" s="289" t="s">
        <v>22</v>
      </c>
      <c r="B17" s="49"/>
      <c r="C17" s="293">
        <v>0.1</v>
      </c>
      <c r="D17" s="292">
        <f>D16*(1+C17)</f>
        <v>2090</v>
      </c>
    </row>
    <row r="19" ht="12.5" spans="2:2">
      <c r="B19" s="294" t="s">
        <v>23</v>
      </c>
    </row>
    <row r="20" ht="12.5" spans="2:9">
      <c r="B20" s="56" t="s">
        <v>24</v>
      </c>
      <c r="C20" s="56"/>
      <c r="D20" s="56" t="s">
        <v>25</v>
      </c>
      <c r="G20" s="198"/>
      <c r="H20" s="198"/>
      <c r="I20" s="198"/>
    </row>
    <row r="21" ht="12.5" spans="2:9">
      <c r="B21" s="57" t="s">
        <v>26</v>
      </c>
      <c r="C21" s="58"/>
      <c r="D21" s="58">
        <v>0.06</v>
      </c>
      <c r="G21" s="198"/>
      <c r="H21" s="198"/>
      <c r="I21" s="198"/>
    </row>
    <row r="22" ht="13.25" spans="2:7">
      <c r="B22" s="57" t="s">
        <v>27</v>
      </c>
      <c r="C22" s="58"/>
      <c r="D22" s="58">
        <v>0.08</v>
      </c>
      <c r="G22" s="198"/>
    </row>
    <row r="23" ht="14" spans="2:9">
      <c r="B23" s="57" t="s">
        <v>28</v>
      </c>
      <c r="C23" s="58"/>
      <c r="D23" s="58">
        <v>0.08</v>
      </c>
      <c r="F23" s="295"/>
      <c r="G23" s="295" t="s">
        <v>29</v>
      </c>
      <c r="H23" s="295" t="s">
        <v>30</v>
      </c>
      <c r="I23" s="295" t="s">
        <v>31</v>
      </c>
    </row>
    <row r="24" ht="14" spans="2:9">
      <c r="B24" s="57" t="s">
        <v>32</v>
      </c>
      <c r="C24" s="58"/>
      <c r="D24" s="58">
        <v>0.08</v>
      </c>
      <c r="F24" s="295" t="s">
        <v>3</v>
      </c>
      <c r="G24" s="296">
        <v>0.09</v>
      </c>
      <c r="H24" s="296">
        <v>0.4</v>
      </c>
      <c r="I24" s="296">
        <v>0.01025</v>
      </c>
    </row>
    <row r="25" ht="14" spans="2:9">
      <c r="B25" s="57" t="s">
        <v>33</v>
      </c>
      <c r="C25" s="58"/>
      <c r="D25" s="58">
        <v>0.1</v>
      </c>
      <c r="F25" s="295" t="s">
        <v>34</v>
      </c>
      <c r="G25" s="296">
        <v>0.2</v>
      </c>
      <c r="H25" s="296">
        <v>0.6</v>
      </c>
      <c r="I25" s="296">
        <v>0.027</v>
      </c>
    </row>
    <row r="26" ht="14" spans="2:9">
      <c r="B26" s="57" t="s">
        <v>35</v>
      </c>
      <c r="C26" s="58"/>
      <c r="D26" s="58">
        <v>0.1</v>
      </c>
      <c r="F26" s="295" t="s">
        <v>36</v>
      </c>
      <c r="G26" s="296">
        <v>0.5</v>
      </c>
      <c r="H26" s="296">
        <v>1.3</v>
      </c>
      <c r="I26" s="296">
        <v>0.04725</v>
      </c>
    </row>
    <row r="27" ht="13.25" spans="2:4">
      <c r="B27" s="57" t="s">
        <v>37</v>
      </c>
      <c r="C27" s="58"/>
      <c r="D27" s="58">
        <v>0.1</v>
      </c>
    </row>
    <row r="28" ht="12.5" spans="2:4">
      <c r="B28" s="57" t="s">
        <v>38</v>
      </c>
      <c r="C28" s="58"/>
      <c r="D28" s="58">
        <v>0.15</v>
      </c>
    </row>
    <row r="29" ht="12.5" spans="2:10">
      <c r="B29" s="57" t="s">
        <v>39</v>
      </c>
      <c r="C29" s="58"/>
      <c r="D29" s="58">
        <v>0.15</v>
      </c>
      <c r="F29" s="297" t="s">
        <v>0</v>
      </c>
      <c r="G29" s="297" t="s">
        <v>40</v>
      </c>
      <c r="I29" s="297" t="s">
        <v>0</v>
      </c>
      <c r="J29" s="63" t="s">
        <v>41</v>
      </c>
    </row>
    <row r="30" ht="12.5" spans="2:10">
      <c r="B30" s="57" t="s">
        <v>42</v>
      </c>
      <c r="C30" s="58"/>
      <c r="D30" s="58">
        <v>0.15</v>
      </c>
      <c r="F30" s="57" t="s">
        <v>1</v>
      </c>
      <c r="G30" s="61">
        <v>0.075</v>
      </c>
      <c r="I30" s="57" t="s">
        <v>1</v>
      </c>
      <c r="J30" s="52">
        <v>800</v>
      </c>
    </row>
    <row r="31" ht="12.5" spans="2:10">
      <c r="B31" s="57" t="s">
        <v>43</v>
      </c>
      <c r="C31" s="58"/>
      <c r="D31" s="58">
        <v>0.15</v>
      </c>
      <c r="F31" s="57" t="s">
        <v>44</v>
      </c>
      <c r="G31" s="58">
        <v>0.14</v>
      </c>
      <c r="I31" s="57" t="s">
        <v>44</v>
      </c>
      <c r="J31" s="52">
        <v>32</v>
      </c>
    </row>
    <row r="32" ht="12.5" spans="2:10">
      <c r="B32" s="57" t="s">
        <v>45</v>
      </c>
      <c r="C32" s="58"/>
      <c r="D32" s="58">
        <v>0.15</v>
      </c>
      <c r="F32" s="57" t="s">
        <v>46</v>
      </c>
      <c r="G32" s="58">
        <v>0.16</v>
      </c>
      <c r="I32" s="57" t="s">
        <v>46</v>
      </c>
      <c r="J32" s="52">
        <v>128</v>
      </c>
    </row>
    <row r="33" ht="12.5" spans="2:10">
      <c r="B33" s="57" t="s">
        <v>47</v>
      </c>
      <c r="C33" s="58"/>
      <c r="D33" s="58">
        <v>0.2</v>
      </c>
      <c r="F33" s="57" t="s">
        <v>48</v>
      </c>
      <c r="G33" s="298">
        <v>0.18</v>
      </c>
      <c r="I33" s="57" t="s">
        <v>48</v>
      </c>
      <c r="J33" s="52">
        <v>680</v>
      </c>
    </row>
    <row r="34" ht="12.5" spans="2:10">
      <c r="B34" s="57" t="s">
        <v>5</v>
      </c>
      <c r="C34" s="58"/>
      <c r="D34" s="58">
        <v>0.2</v>
      </c>
      <c r="F34" s="57" t="s">
        <v>49</v>
      </c>
      <c r="G34" s="58">
        <v>0.2</v>
      </c>
      <c r="I34" s="57" t="s">
        <v>49</v>
      </c>
      <c r="J34" s="52">
        <v>11.1</v>
      </c>
    </row>
    <row r="35" ht="12.5" spans="2:10">
      <c r="B35" s="57" t="s">
        <v>50</v>
      </c>
      <c r="C35" s="58"/>
      <c r="D35" s="58">
        <v>0.2</v>
      </c>
      <c r="F35" s="57" t="s">
        <v>51</v>
      </c>
      <c r="G35" s="61">
        <v>0.181</v>
      </c>
      <c r="I35" s="57" t="s">
        <v>51</v>
      </c>
      <c r="J35" s="52">
        <v>13.5</v>
      </c>
    </row>
    <row r="36" ht="12.5" spans="2:10">
      <c r="B36" s="57" t="s">
        <v>52</v>
      </c>
      <c r="C36" s="58"/>
      <c r="D36" s="58">
        <v>0.2</v>
      </c>
      <c r="F36" s="57" t="s">
        <v>53</v>
      </c>
      <c r="G36" s="298">
        <v>0.18</v>
      </c>
      <c r="I36" s="57" t="s">
        <v>53</v>
      </c>
      <c r="J36" s="52">
        <v>680</v>
      </c>
    </row>
    <row r="37" ht="12.5" spans="2:10">
      <c r="B37" s="57" t="s">
        <v>54</v>
      </c>
      <c r="C37" s="58"/>
      <c r="D37" s="58">
        <v>0.2</v>
      </c>
      <c r="F37" s="57" t="s">
        <v>55</v>
      </c>
      <c r="G37" s="58">
        <v>0.18</v>
      </c>
      <c r="I37" s="57" t="s">
        <v>55</v>
      </c>
      <c r="J37" s="52">
        <v>4050</v>
      </c>
    </row>
    <row r="38" ht="12.5" spans="2:4">
      <c r="B38" s="57" t="s">
        <v>56</v>
      </c>
      <c r="C38" s="58"/>
      <c r="D38" s="58">
        <v>0.2</v>
      </c>
    </row>
    <row r="39" ht="12.5" spans="2:4">
      <c r="B39" s="57" t="s">
        <v>57</v>
      </c>
      <c r="C39" s="58"/>
      <c r="D39" s="58">
        <v>0.2</v>
      </c>
    </row>
    <row r="41" ht="12.5" spans="2:2">
      <c r="B41" s="52" t="s">
        <v>58</v>
      </c>
    </row>
  </sheetData>
  <mergeCells count="6">
    <mergeCell ref="D4:E4"/>
    <mergeCell ref="A12:B12"/>
    <mergeCell ref="A15:B15"/>
    <mergeCell ref="A16:B16"/>
    <mergeCell ref="A17:B17"/>
    <mergeCell ref="A8:A11"/>
  </mergeCells>
  <dataValidations count="3">
    <dataValidation type="list" allowBlank="1" showErrorMessage="1" sqref="B1">
      <formula1>$F$30:$F$37</formula1>
    </dataValidation>
    <dataValidation type="list" allowBlank="1" showErrorMessage="1" sqref="B2">
      <formula1>$F$24:$F$26</formula1>
    </dataValidation>
    <dataValidation type="list" allowBlank="1" showErrorMessage="1" sqref="B3">
      <formula1>$B$21:$B$39</formula1>
    </dataValidation>
  </dataValidations>
  <hyperlinks>
    <hyperlink ref="J29" r:id="rId2" display="FX"/>
  </hyperlinks>
  <pageMargins left="0.7" right="0.7" top="0.75" bottom="0.75" header="0.3" footer="0.3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1004"/>
  <sheetViews>
    <sheetView workbookViewId="0">
      <selection activeCell="A1" sqref="A1"/>
    </sheetView>
  </sheetViews>
  <sheetFormatPr defaultColWidth="12.6636363636364" defaultRowHeight="15.75" customHeight="1"/>
  <cols>
    <col min="1" max="1" width="18.4454545454545" customWidth="1"/>
    <col min="2" max="2" width="37.7818181818182" customWidth="1"/>
    <col min="3" max="3" width="7.66363636363636" customWidth="1"/>
    <col min="5" max="5" width="15.4454545454545" customWidth="1"/>
    <col min="6" max="6" width="26.2181818181818" customWidth="1"/>
    <col min="7" max="7" width="20.7818181818182" customWidth="1"/>
    <col min="9" max="9" width="21.7818181818182" customWidth="1"/>
    <col min="17" max="17" width="21" customWidth="1"/>
  </cols>
  <sheetData>
    <row r="1" ht="14.5" spans="1:10">
      <c r="A1" s="1" t="s">
        <v>0</v>
      </c>
      <c r="B1" s="2" t="s">
        <v>1</v>
      </c>
      <c r="C1" s="3"/>
      <c r="D1" s="3"/>
      <c r="E1" s="3"/>
      <c r="H1" s="4" t="s">
        <v>477</v>
      </c>
      <c r="I1" s="3"/>
      <c r="J1" s="3"/>
    </row>
    <row r="2" ht="14.5" spans="1:10">
      <c r="A2" s="1" t="s">
        <v>2</v>
      </c>
      <c r="B2" s="2" t="s">
        <v>34</v>
      </c>
      <c r="C2" s="3"/>
      <c r="D2" s="3"/>
      <c r="E2" s="3"/>
      <c r="F2" s="3"/>
      <c r="G2" s="3"/>
      <c r="H2" s="3"/>
      <c r="I2" s="3"/>
      <c r="J2" s="3"/>
    </row>
    <row r="3" ht="14.5" spans="1:10">
      <c r="A3" s="3" t="s">
        <v>4</v>
      </c>
      <c r="B3" s="2" t="s">
        <v>50</v>
      </c>
      <c r="C3" s="3"/>
      <c r="D3" s="3"/>
      <c r="E3" s="3"/>
      <c r="F3" s="3"/>
      <c r="G3" s="3"/>
      <c r="H3" s="3"/>
      <c r="I3" s="3"/>
      <c r="J3" s="3"/>
    </row>
    <row r="4" ht="14.5" spans="1:10">
      <c r="A4" s="5" t="s">
        <v>251</v>
      </c>
      <c r="B4" s="2" t="s">
        <v>261</v>
      </c>
      <c r="C4" s="88"/>
      <c r="D4" s="89" t="s">
        <v>6</v>
      </c>
      <c r="F4" s="3"/>
      <c r="G4" s="3"/>
      <c r="H4" s="3"/>
      <c r="I4" s="3"/>
      <c r="J4" s="3"/>
    </row>
    <row r="5" ht="15.25" spans="1:10">
      <c r="A5" s="89" t="s">
        <v>7</v>
      </c>
      <c r="B5" s="89" t="s">
        <v>8</v>
      </c>
      <c r="C5" s="89"/>
      <c r="D5" s="89" t="s">
        <v>9</v>
      </c>
      <c r="E5" s="89" t="s">
        <v>10</v>
      </c>
      <c r="F5" s="3"/>
      <c r="G5" s="3"/>
      <c r="H5" s="3"/>
      <c r="I5" s="3"/>
      <c r="J5" s="3"/>
    </row>
    <row r="6" ht="19.5" customHeight="1" spans="1:10">
      <c r="A6" s="90">
        <v>1</v>
      </c>
      <c r="B6" s="91" t="s">
        <v>478</v>
      </c>
      <c r="C6" s="91"/>
      <c r="D6" s="92" t="e">
        <f>VLOOKUP(B4,#REF!,3,FALSE)</f>
        <v>#REF!</v>
      </c>
      <c r="E6" s="93" t="e">
        <f t="shared" ref="E6:E7" si="0">D6/$D$15</f>
        <v>#REF!</v>
      </c>
      <c r="F6" s="3"/>
      <c r="G6" s="13"/>
      <c r="H6" s="3"/>
      <c r="I6" s="3"/>
      <c r="J6" s="3"/>
    </row>
    <row r="7" ht="29.25" customHeight="1" spans="1:10">
      <c r="A7" s="94">
        <v>2</v>
      </c>
      <c r="B7" s="95" t="s">
        <v>274</v>
      </c>
      <c r="C7" s="96"/>
      <c r="D7" s="92">
        <f t="array" ref="D7">INDEX($R$24:$X$64,MATCH($B$4,$Q$24:$Q$64,0),MATCH($B$1,$R$23:$X$23,0))</f>
        <v>0.361743681</v>
      </c>
      <c r="E7" s="97" t="e">
        <f t="shared" si="0"/>
        <v>#REF!</v>
      </c>
      <c r="F7" s="3"/>
      <c r="G7" s="13"/>
      <c r="H7" s="3"/>
      <c r="I7" s="3"/>
      <c r="J7" s="3"/>
    </row>
    <row r="8" ht="33.75" customHeight="1" spans="1:10">
      <c r="A8" s="98">
        <v>3</v>
      </c>
      <c r="B8" s="99" t="s">
        <v>479</v>
      </c>
      <c r="C8" s="100"/>
      <c r="D8" s="100">
        <f>D9+D10</f>
        <v>0.71896</v>
      </c>
      <c r="E8" s="97"/>
      <c r="F8" s="3"/>
      <c r="G8" s="13"/>
      <c r="H8" s="3"/>
      <c r="I8" s="3"/>
      <c r="J8" s="3"/>
    </row>
    <row r="9" ht="34.5" customHeight="1" spans="1:10">
      <c r="A9" s="22"/>
      <c r="B9" s="95" t="s">
        <v>480</v>
      </c>
      <c r="C9" s="101">
        <v>135</v>
      </c>
      <c r="D9" s="102">
        <f>0.007088*45</f>
        <v>0.31896</v>
      </c>
      <c r="E9" s="97" t="e">
        <f t="shared" ref="E9:E10" si="1">D9/$D$15</f>
        <v>#REF!</v>
      </c>
      <c r="F9" s="3"/>
      <c r="G9" s="13"/>
      <c r="H9" s="3"/>
      <c r="I9" s="3"/>
      <c r="J9" s="3"/>
    </row>
    <row r="10" ht="19.5" customHeight="1" spans="1:10">
      <c r="A10" s="25"/>
      <c r="B10" s="103" t="s">
        <v>16</v>
      </c>
      <c r="C10" s="104"/>
      <c r="D10" s="104">
        <v>0.4</v>
      </c>
      <c r="E10" s="97" t="e">
        <f t="shared" si="1"/>
        <v>#REF!</v>
      </c>
      <c r="G10" s="28"/>
      <c r="I10" s="3"/>
      <c r="J10" s="3"/>
    </row>
    <row r="11" ht="19.5" customHeight="1" spans="1:10">
      <c r="A11" s="105" t="s">
        <v>17</v>
      </c>
      <c r="B11" s="106"/>
      <c r="C11" s="106"/>
      <c r="D11" s="107" t="e">
        <f>D6+D7+D8</f>
        <v>#REF!</v>
      </c>
      <c r="E11" s="108"/>
      <c r="G11" s="28"/>
      <c r="I11" s="3"/>
      <c r="J11" s="3"/>
    </row>
    <row r="12" ht="19.5" customHeight="1" spans="1:10">
      <c r="A12" s="90">
        <v>4</v>
      </c>
      <c r="B12" s="91" t="s">
        <v>18</v>
      </c>
      <c r="C12" s="109">
        <f>VLOOKUP(B3,B22:D40,3,0)</f>
        <v>0.2</v>
      </c>
      <c r="D12" s="110" t="e">
        <f>D15*C12</f>
        <v>#REF!</v>
      </c>
      <c r="E12" s="111" t="e">
        <f t="shared" ref="E12:E14" si="2">D12/$D$15</f>
        <v>#REF!</v>
      </c>
      <c r="F12" s="3"/>
      <c r="G12" s="13"/>
      <c r="H12" s="3"/>
      <c r="I12" s="3"/>
      <c r="J12" s="3"/>
    </row>
    <row r="13" ht="19.5" customHeight="1" spans="1:10">
      <c r="A13" s="112">
        <v>5</v>
      </c>
      <c r="B13" s="113" t="s">
        <v>481</v>
      </c>
      <c r="C13" s="114">
        <v>0.05</v>
      </c>
      <c r="D13" s="115" t="e">
        <f>D15*C13</f>
        <v>#REF!</v>
      </c>
      <c r="E13" s="116" t="e">
        <f t="shared" si="2"/>
        <v>#REF!</v>
      </c>
      <c r="F13" s="3"/>
      <c r="G13" s="13"/>
      <c r="H13" s="3"/>
      <c r="I13" s="3"/>
      <c r="J13" s="3"/>
    </row>
    <row r="14" ht="19.5" customHeight="1" spans="1:10">
      <c r="A14" s="117">
        <v>6</v>
      </c>
      <c r="B14" s="118" t="s">
        <v>482</v>
      </c>
      <c r="C14" s="119">
        <v>0.1</v>
      </c>
      <c r="D14" s="120" t="e">
        <f>D15*C14</f>
        <v>#REF!</v>
      </c>
      <c r="E14" s="121" t="e">
        <f t="shared" si="2"/>
        <v>#REF!</v>
      </c>
      <c r="F14" s="3"/>
      <c r="G14" s="13"/>
      <c r="H14" s="3"/>
      <c r="I14" s="3"/>
      <c r="J14" s="3"/>
    </row>
    <row r="15" ht="19.5" customHeight="1" spans="1:10">
      <c r="A15" s="122" t="s">
        <v>483</v>
      </c>
      <c r="B15" s="49"/>
      <c r="C15" s="123"/>
      <c r="D15" s="123" t="e">
        <f>D11/(1-C12-C13-C14)</f>
        <v>#REF!</v>
      </c>
      <c r="E15" s="124"/>
      <c r="F15" s="3"/>
      <c r="G15" s="13"/>
      <c r="H15" s="3"/>
      <c r="I15" s="3"/>
      <c r="J15" s="3"/>
    </row>
    <row r="16" ht="17" spans="1:10">
      <c r="A16" s="122" t="s">
        <v>484</v>
      </c>
      <c r="B16" s="49"/>
      <c r="C16" s="125">
        <v>3850</v>
      </c>
      <c r="D16" s="125" t="e">
        <f>D15*C16</f>
        <v>#REF!</v>
      </c>
      <c r="E16" s="124"/>
      <c r="F16" s="3"/>
      <c r="G16" s="13"/>
      <c r="H16" s="3"/>
      <c r="I16" s="3"/>
      <c r="J16" s="3"/>
    </row>
    <row r="17" ht="13.25" spans="6:10">
      <c r="F17" s="3"/>
      <c r="G17" s="13"/>
      <c r="H17" s="3"/>
      <c r="I17" s="3"/>
      <c r="J17" s="3"/>
    </row>
    <row r="18" ht="12.5" spans="6:10">
      <c r="F18" s="3"/>
      <c r="G18" s="13"/>
      <c r="H18" s="3"/>
      <c r="I18" s="3"/>
      <c r="J18" s="3"/>
    </row>
    <row r="19" ht="12.5" spans="4:10">
      <c r="D19" s="54"/>
      <c r="F19" s="3"/>
      <c r="G19" s="3"/>
      <c r="H19" s="3"/>
      <c r="I19" s="3"/>
      <c r="J19" s="3"/>
    </row>
    <row r="20" ht="13" spans="2:10">
      <c r="B20" s="55" t="s">
        <v>23</v>
      </c>
      <c r="F20" s="3"/>
      <c r="G20" s="3"/>
      <c r="H20" s="3"/>
      <c r="I20" s="3"/>
      <c r="J20" s="3"/>
    </row>
    <row r="21" ht="12.5" spans="2:10">
      <c r="B21" s="56" t="s">
        <v>24</v>
      </c>
      <c r="C21" s="56"/>
      <c r="D21" s="56" t="s">
        <v>25</v>
      </c>
      <c r="F21" s="3"/>
      <c r="G21" s="3"/>
      <c r="H21" s="3"/>
      <c r="I21" s="3"/>
      <c r="J21" s="3"/>
    </row>
    <row r="22" ht="12.5" spans="2:23">
      <c r="B22" s="57" t="s">
        <v>26</v>
      </c>
      <c r="C22" s="58"/>
      <c r="D22" s="58">
        <v>0.06</v>
      </c>
      <c r="F22" s="3"/>
      <c r="G22" s="3"/>
      <c r="H22" s="3"/>
      <c r="I22" s="66" t="s">
        <v>485</v>
      </c>
      <c r="J22" s="3" t="s">
        <v>485</v>
      </c>
      <c r="K22" s="3" t="s">
        <v>485</v>
      </c>
      <c r="L22" s="3" t="s">
        <v>485</v>
      </c>
      <c r="M22" s="3" t="s">
        <v>485</v>
      </c>
      <c r="Q22" s="52" t="str">
        <f>IFERROR(__xludf.DUMMYFUNCTION("importrange(""https://docs.google.com/spreadsheets/d/1z7jycMnrpjJCCQulnYGqilwkOCyHzRQQkSYj0wLoXIE/edit#gid=2092075214"",""shipping cost!o1:U43"")"),"International shipping fee per pcs")</f>
        <v>International shipping fee per pcs</v>
      </c>
      <c r="R22" s="52"/>
      <c r="S22" s="52"/>
      <c r="T22" s="52"/>
      <c r="U22" s="52"/>
      <c r="V22" s="52"/>
      <c r="W22" s="52"/>
    </row>
    <row r="23" ht="12.5" spans="2:23">
      <c r="B23" s="57" t="s">
        <v>27</v>
      </c>
      <c r="C23" s="58"/>
      <c r="D23" s="58">
        <v>0.08</v>
      </c>
      <c r="F23" s="59"/>
      <c r="G23" s="59" t="s">
        <v>1</v>
      </c>
      <c r="H23" s="59" t="s">
        <v>48</v>
      </c>
      <c r="I23" s="67" t="s">
        <v>46</v>
      </c>
      <c r="J23" s="67" t="s">
        <v>53</v>
      </c>
      <c r="K23" s="67" t="s">
        <v>55</v>
      </c>
      <c r="L23" s="67" t="s">
        <v>49</v>
      </c>
      <c r="M23" s="67" t="s">
        <v>44</v>
      </c>
      <c r="N23" s="67" t="s">
        <v>486</v>
      </c>
      <c r="O23" s="67" t="s">
        <v>51</v>
      </c>
      <c r="Q23" s="52" t="str">
        <f>IFERROR(__xludf.DUMMYFUNCTION("""COMPUTED_VALUE"""),"Basic assortment")</f>
        <v>Basic assortment</v>
      </c>
      <c r="R23" s="52" t="str">
        <f>IFERROR(__xludf.DUMMYFUNCTION("""COMPUTED_VALUE"""),"NG")</f>
        <v>NG</v>
      </c>
      <c r="S23" s="52" t="str">
        <f>IFERROR(__xludf.DUMMYFUNCTION("""COMPUTED_VALUE"""),"IC")</f>
        <v>IC</v>
      </c>
      <c r="T23" s="52" t="str">
        <f>IFERROR(__xludf.DUMMYFUNCTION("""COMPUTED_VALUE"""),"KE")</f>
        <v>KE</v>
      </c>
      <c r="U23" s="52" t="str">
        <f>IFERROR(__xludf.DUMMYFUNCTION("""COMPUTED_VALUE"""),"SN")</f>
        <v>SN</v>
      </c>
      <c r="V23" s="52" t="str">
        <f>IFERROR(__xludf.DUMMYFUNCTION("""COMPUTED_VALUE"""),"UG")</f>
        <v>UG</v>
      </c>
      <c r="W23" s="52" t="str">
        <f>IFERROR(__xludf.DUMMYFUNCTION("""COMPUTED_VALUE"""),"GH")</f>
        <v>GH</v>
      </c>
    </row>
    <row r="24" ht="12.5" spans="2:23">
      <c r="B24" s="57" t="s">
        <v>28</v>
      </c>
      <c r="C24" s="58"/>
      <c r="D24" s="58">
        <v>0.08</v>
      </c>
      <c r="F24" s="59" t="s">
        <v>298</v>
      </c>
      <c r="G24" s="60">
        <v>0.002025</v>
      </c>
      <c r="H24" s="60">
        <v>0.002025</v>
      </c>
      <c r="I24" s="60">
        <v>0.002025</v>
      </c>
      <c r="J24" s="60">
        <v>0.002025</v>
      </c>
      <c r="K24" s="60">
        <v>0.002025</v>
      </c>
      <c r="L24" s="60">
        <v>0.002025</v>
      </c>
      <c r="M24" s="60">
        <v>0.002025</v>
      </c>
      <c r="N24" s="60">
        <v>0</v>
      </c>
      <c r="O24" s="60">
        <v>0.002025</v>
      </c>
      <c r="Q24" s="52" t="str">
        <f>IFERROR(__xludf.DUMMYFUNCTION("""COMPUTED_VALUE"""),"T-shirt")</f>
        <v>T-shirt</v>
      </c>
      <c r="R24" s="52">
        <f>IFERROR(__xludf.DUMMYFUNCTION("""COMPUTED_VALUE"""),0.361743681)</f>
        <v>0.361743681</v>
      </c>
      <c r="S24" s="52">
        <f>IFERROR(__xludf.DUMMYFUNCTION("""COMPUTED_VALUE"""),0.3649751382)</f>
        <v>0.3649751382</v>
      </c>
      <c r="T24" s="52">
        <f>IFERROR(__xludf.DUMMYFUNCTION("""COMPUTED_VALUE"""),0.4567126176)</f>
        <v>0.4567126176</v>
      </c>
      <c r="U24" s="52">
        <f>IFERROR(__xludf.DUMMYFUNCTION("""COMPUTED_VALUE"""),0.3615641556)</f>
        <v>0.3615641556</v>
      </c>
      <c r="V24" s="52">
        <f>IFERROR(__xludf.DUMMYFUNCTION("""COMPUTED_VALUE"""),1.046633082)</f>
        <v>1.046633082</v>
      </c>
      <c r="W24" s="52">
        <f>IFERROR(__xludf.DUMMYFUNCTION("""COMPUTED_VALUE"""),0.2188414626)</f>
        <v>0.2188414626</v>
      </c>
    </row>
    <row r="25" ht="12.5" spans="2:23">
      <c r="B25" s="57" t="s">
        <v>32</v>
      </c>
      <c r="C25" s="58"/>
      <c r="D25" s="58">
        <v>0.08</v>
      </c>
      <c r="F25" s="59" t="s">
        <v>3</v>
      </c>
      <c r="G25" s="60">
        <v>0.007088</v>
      </c>
      <c r="H25" s="60">
        <v>0.007088</v>
      </c>
      <c r="I25" s="60">
        <v>0.005063</v>
      </c>
      <c r="J25" s="60">
        <v>0.005063</v>
      </c>
      <c r="K25" s="60">
        <v>0.005063</v>
      </c>
      <c r="L25" s="60">
        <v>0.005063</v>
      </c>
      <c r="M25" s="60">
        <v>0.005063</v>
      </c>
      <c r="N25" s="60">
        <v>0</v>
      </c>
      <c r="O25" s="60">
        <v>0.005063</v>
      </c>
      <c r="Q25" s="52" t="str">
        <f>IFERROR(__xludf.DUMMYFUNCTION("""COMPUTED_VALUE"""),"shirt ")</f>
        <v>shirt </v>
      </c>
      <c r="R25" s="52">
        <f>IFERROR(__xludf.DUMMYFUNCTION("""COMPUTED_VALUE"""),0.37479)</f>
        <v>0.37479</v>
      </c>
      <c r="S25" s="52">
        <f>IFERROR(__xludf.DUMMYFUNCTION("""COMPUTED_VALUE"""),0.378138)</f>
        <v>0.378138</v>
      </c>
      <c r="T25" s="52">
        <f>IFERROR(__xludf.DUMMYFUNCTION("""COMPUTED_VALUE"""),0.473184)</f>
        <v>0.473184</v>
      </c>
      <c r="U25" s="52">
        <f>IFERROR(__xludf.DUMMYFUNCTION("""COMPUTED_VALUE"""),0.374604)</f>
        <v>0.374604</v>
      </c>
      <c r="V25" s="52">
        <f>IFERROR(__xludf.DUMMYFUNCTION("""COMPUTED_VALUE"""),1.08438)</f>
        <v>1.08438</v>
      </c>
      <c r="W25" s="52">
        <f>IFERROR(__xludf.DUMMYFUNCTION("""COMPUTED_VALUE"""),0.226734)</f>
        <v>0.226734</v>
      </c>
    </row>
    <row r="26" ht="12.5" spans="2:23">
      <c r="B26" s="57" t="s">
        <v>33</v>
      </c>
      <c r="C26" s="58"/>
      <c r="D26" s="58">
        <v>0.1</v>
      </c>
      <c r="F26" s="59" t="s">
        <v>34</v>
      </c>
      <c r="G26" s="60">
        <v>0.0189</v>
      </c>
      <c r="H26" s="60">
        <v>0.0189</v>
      </c>
      <c r="I26" s="60">
        <v>0.0135</v>
      </c>
      <c r="J26" s="60">
        <v>0.0135</v>
      </c>
      <c r="K26" s="60">
        <v>0.0135</v>
      </c>
      <c r="L26" s="60">
        <v>0.0135</v>
      </c>
      <c r="M26" s="60">
        <v>0.0135</v>
      </c>
      <c r="N26" s="60">
        <v>0</v>
      </c>
      <c r="O26" s="60">
        <v>0.0135</v>
      </c>
      <c r="Q26" s="52" t="str">
        <f>IFERROR(__xludf.DUMMYFUNCTION("""COMPUTED_VALUE"""),"trousers")</f>
        <v>trousers</v>
      </c>
      <c r="R26" s="52">
        <f>IFERROR(__xludf.DUMMYFUNCTION("""COMPUTED_VALUE"""),0.890263636363636)</f>
        <v>0.890263636363636</v>
      </c>
      <c r="S26" s="52">
        <f>IFERROR(__xludf.DUMMYFUNCTION("""COMPUTED_VALUE"""),0.898216363636363)</f>
        <v>0.898216363636363</v>
      </c>
      <c r="T26" s="52">
        <f>IFERROR(__xludf.DUMMYFUNCTION("""COMPUTED_VALUE"""),1.12398545454545)</f>
        <v>1.12398545454545</v>
      </c>
      <c r="U26" s="52">
        <f>IFERROR(__xludf.DUMMYFUNCTION("""COMPUTED_VALUE"""),0.889821818181818)</f>
        <v>0.889821818181818</v>
      </c>
      <c r="V26" s="52">
        <f>IFERROR(__xludf.DUMMYFUNCTION("""COMPUTED_VALUE"""),2.5758)</f>
        <v>2.5758</v>
      </c>
      <c r="W26" s="52">
        <f>IFERROR(__xludf.DUMMYFUNCTION("""COMPUTED_VALUE"""),0.538576363636363)</f>
        <v>0.538576363636363</v>
      </c>
    </row>
    <row r="27" ht="12.5" spans="2:23">
      <c r="B27" s="57" t="s">
        <v>35</v>
      </c>
      <c r="C27" s="58"/>
      <c r="D27" s="58">
        <v>0.1</v>
      </c>
      <c r="F27" s="59" t="s">
        <v>36</v>
      </c>
      <c r="G27" s="60">
        <v>0.033075</v>
      </c>
      <c r="H27" s="60">
        <v>0.033075</v>
      </c>
      <c r="I27" s="60">
        <v>0.023625</v>
      </c>
      <c r="J27" s="60">
        <v>0.023625</v>
      </c>
      <c r="K27" s="60">
        <v>0.023625</v>
      </c>
      <c r="L27" s="60">
        <v>0.023625</v>
      </c>
      <c r="M27" s="60">
        <v>0.023625</v>
      </c>
      <c r="N27" s="60">
        <v>0</v>
      </c>
      <c r="O27" s="60">
        <v>0.023625</v>
      </c>
      <c r="Q27" s="52" t="str">
        <f>IFERROR(__xludf.DUMMYFUNCTION("""COMPUTED_VALUE"""),"Underwear pack of 4")</f>
        <v>Underwear pack of 4</v>
      </c>
      <c r="R27" s="52">
        <f>IFERROR(__xludf.DUMMYFUNCTION("""COMPUTED_VALUE"""),0.362247191011236)</f>
        <v>0.362247191011236</v>
      </c>
      <c r="S27" s="52">
        <f>IFERROR(__xludf.DUMMYFUNCTION("""COMPUTED_VALUE"""),0.365483146067415)</f>
        <v>0.365483146067415</v>
      </c>
      <c r="T27" s="52">
        <f>IFERROR(__xludf.DUMMYFUNCTION("""COMPUTED_VALUE"""),0.457348314606741)</f>
        <v>0.457348314606741</v>
      </c>
      <c r="U27" s="52">
        <f>IFERROR(__xludf.DUMMYFUNCTION("""COMPUTED_VALUE"""),0.362067415730337)</f>
        <v>0.362067415730337</v>
      </c>
      <c r="V27" s="52">
        <f>IFERROR(__xludf.DUMMYFUNCTION("""COMPUTED_VALUE"""),1.04808988764044)</f>
        <v>1.04808988764044</v>
      </c>
      <c r="W27" s="52">
        <f>IFERROR(__xludf.DUMMYFUNCTION("""COMPUTED_VALUE"""),0.21914606741573)</f>
        <v>0.21914606741573</v>
      </c>
    </row>
    <row r="28" ht="12.5" spans="2:23">
      <c r="B28" s="57" t="s">
        <v>37</v>
      </c>
      <c r="C28" s="58"/>
      <c r="D28" s="58">
        <v>0.1</v>
      </c>
      <c r="F28" s="3"/>
      <c r="G28" s="3"/>
      <c r="H28" s="3"/>
      <c r="I28" s="3"/>
      <c r="J28" s="3"/>
      <c r="Q28" s="52" t="str">
        <f>IFERROR(__xludf.DUMMYFUNCTION("""COMPUTED_VALUE"""),"Socks pack of six")</f>
        <v>Socks pack of six</v>
      </c>
      <c r="R28" s="52">
        <f>IFERROR(__xludf.DUMMYFUNCTION("""COMPUTED_VALUE"""),0.25792)</f>
        <v>0.25792</v>
      </c>
      <c r="S28" s="52">
        <f>IFERROR(__xludf.DUMMYFUNCTION("""COMPUTED_VALUE"""),0.260224)</f>
        <v>0.260224</v>
      </c>
      <c r="T28" s="52">
        <f>IFERROR(__xludf.DUMMYFUNCTION("""COMPUTED_VALUE"""),0.325632)</f>
        <v>0.325632</v>
      </c>
      <c r="U28" s="52">
        <f>IFERROR(__xludf.DUMMYFUNCTION("""COMPUTED_VALUE"""),0.257792)</f>
        <v>0.257792</v>
      </c>
      <c r="V28" s="52">
        <f>IFERROR(__xludf.DUMMYFUNCTION("""COMPUTED_VALUE"""),0.74624)</f>
        <v>0.74624</v>
      </c>
      <c r="W28" s="52">
        <f>IFERROR(__xludf.DUMMYFUNCTION("""COMPUTED_VALUE"""),0.156032)</f>
        <v>0.156032</v>
      </c>
    </row>
    <row r="29" ht="12.5" spans="2:23">
      <c r="B29" s="57" t="s">
        <v>38</v>
      </c>
      <c r="C29" s="58"/>
      <c r="D29" s="58">
        <v>0.15</v>
      </c>
      <c r="F29" s="3"/>
      <c r="G29" s="3"/>
      <c r="H29" s="3"/>
      <c r="I29" s="3"/>
      <c r="J29" s="3"/>
      <c r="Q29" s="52" t="str">
        <f>IFERROR(__xludf.DUMMYFUNCTION("""COMPUTED_VALUE"""),"Hoodie/ Jacket")</f>
        <v>Hoodie/ Jacket</v>
      </c>
      <c r="R29" s="52">
        <f>IFERROR(__xludf.DUMMYFUNCTION("""COMPUTED_VALUE"""),1.1915904)</f>
        <v>1.1915904</v>
      </c>
      <c r="S29" s="52">
        <f>IFERROR(__xludf.DUMMYFUNCTION("""COMPUTED_VALUE"""),1.20223488)</f>
        <v>1.20223488</v>
      </c>
      <c r="T29" s="52">
        <f>IFERROR(__xludf.DUMMYFUNCTION("""COMPUTED_VALUE"""),1.50441984)</f>
        <v>1.50441984</v>
      </c>
      <c r="U29" s="52">
        <f>IFERROR(__xludf.DUMMYFUNCTION("""COMPUTED_VALUE"""),1.19099904)</f>
        <v>1.19099904</v>
      </c>
      <c r="V29" s="52">
        <f>IFERROR(__xludf.DUMMYFUNCTION("""COMPUTED_VALUE"""),3.4476288)</f>
        <v>3.4476288</v>
      </c>
      <c r="W29" s="52">
        <f>IFERROR(__xludf.DUMMYFUNCTION("""COMPUTED_VALUE"""),0.72086784)</f>
        <v>0.72086784</v>
      </c>
    </row>
    <row r="30" ht="12.5" spans="2:23">
      <c r="B30" s="57" t="s">
        <v>39</v>
      </c>
      <c r="C30" s="58"/>
      <c r="D30" s="58">
        <v>0.15</v>
      </c>
      <c r="F30" s="57" t="s">
        <v>0</v>
      </c>
      <c r="G30" s="57" t="s">
        <v>40</v>
      </c>
      <c r="H30" s="3"/>
      <c r="I30" s="68" t="s">
        <v>0</v>
      </c>
      <c r="J30" s="69" t="s">
        <v>487</v>
      </c>
      <c r="K30" s="59"/>
      <c r="L30" s="59" t="s">
        <v>30</v>
      </c>
      <c r="Q30" s="52" t="str">
        <f>IFERROR(__xludf.DUMMYFUNCTION("""COMPUTED_VALUE"""),"Set of black short &amp; shirt for men")</f>
        <v>Set of black short &amp; shirt for men</v>
      </c>
      <c r="R30" s="52">
        <f>IFERROR(__xludf.DUMMYFUNCTION("""COMPUTED_VALUE"""),0.723487362)</f>
        <v>0.723487362</v>
      </c>
      <c r="S30" s="52">
        <f>IFERROR(__xludf.DUMMYFUNCTION("""COMPUTED_VALUE"""),0.7299502764)</f>
        <v>0.7299502764</v>
      </c>
      <c r="T30" s="52">
        <f>IFERROR(__xludf.DUMMYFUNCTION("""COMPUTED_VALUE"""),0.9134252352)</f>
        <v>0.9134252352</v>
      </c>
      <c r="U30" s="52">
        <f>IFERROR(__xludf.DUMMYFUNCTION("""COMPUTED_VALUE"""),0.7231283112)</f>
        <v>0.7231283112</v>
      </c>
      <c r="V30" s="52">
        <f>IFERROR(__xludf.DUMMYFUNCTION("""COMPUTED_VALUE"""),2.093266164)</f>
        <v>2.093266164</v>
      </c>
      <c r="W30" s="52">
        <f>IFERROR(__xludf.DUMMYFUNCTION("""COMPUTED_VALUE"""),0.4376829252)</f>
        <v>0.4376829252</v>
      </c>
    </row>
    <row r="31" ht="12.5" spans="2:23">
      <c r="B31" s="57" t="s">
        <v>42</v>
      </c>
      <c r="C31" s="58"/>
      <c r="D31" s="58">
        <v>0.15</v>
      </c>
      <c r="F31" s="57" t="s">
        <v>1</v>
      </c>
      <c r="G31" s="61">
        <v>0.075</v>
      </c>
      <c r="H31" s="3"/>
      <c r="I31" s="68" t="s">
        <v>1</v>
      </c>
      <c r="J31" s="59">
        <v>920</v>
      </c>
      <c r="K31" s="59" t="s">
        <v>298</v>
      </c>
      <c r="L31" s="59">
        <v>0.4</v>
      </c>
      <c r="Q31" s="52" t="str">
        <f>IFERROR(__xludf.DUMMYFUNCTION("""COMPUTED_VALUE"""),"Women underwear  pack of 4")</f>
        <v>Women underwear  pack of 4</v>
      </c>
      <c r="R31" s="52">
        <f>IFERROR(__xludf.DUMMYFUNCTION("""COMPUTED_VALUE"""),0.362247191011236)</f>
        <v>0.362247191011236</v>
      </c>
      <c r="S31" s="52">
        <f>IFERROR(__xludf.DUMMYFUNCTION("""COMPUTED_VALUE"""),0.365483146067415)</f>
        <v>0.365483146067415</v>
      </c>
      <c r="T31" s="52">
        <f>IFERROR(__xludf.DUMMYFUNCTION("""COMPUTED_VALUE"""),0.457348314606741)</f>
        <v>0.457348314606741</v>
      </c>
      <c r="U31" s="52">
        <f>IFERROR(__xludf.DUMMYFUNCTION("""COMPUTED_VALUE"""),0.362067415730337)</f>
        <v>0.362067415730337</v>
      </c>
      <c r="V31" s="52">
        <f>IFERROR(__xludf.DUMMYFUNCTION("""COMPUTED_VALUE"""),1.04808988764044)</f>
        <v>1.04808988764044</v>
      </c>
      <c r="W31" s="52">
        <f>IFERROR(__xludf.DUMMYFUNCTION("""COMPUTED_VALUE"""),0.21914606741573)</f>
        <v>0.21914606741573</v>
      </c>
    </row>
    <row r="32" ht="12.5" spans="2:23">
      <c r="B32" s="57" t="s">
        <v>43</v>
      </c>
      <c r="C32" s="58"/>
      <c r="D32" s="58">
        <v>0.15</v>
      </c>
      <c r="F32" s="57" t="s">
        <v>44</v>
      </c>
      <c r="G32" s="58">
        <v>0.14</v>
      </c>
      <c r="H32" s="3"/>
      <c r="I32" s="68" t="s">
        <v>44</v>
      </c>
      <c r="J32" s="59">
        <v>40</v>
      </c>
      <c r="K32" s="59" t="s">
        <v>3</v>
      </c>
      <c r="L32" s="59">
        <v>0.4</v>
      </c>
      <c r="Q32" s="52" t="str">
        <f>IFERROR(__xludf.DUMMYFUNCTION("""COMPUTED_VALUE"""),"bra pack of two")</f>
        <v>bra pack of two</v>
      </c>
      <c r="R32" s="52">
        <f>IFERROR(__xludf.DUMMYFUNCTION("""COMPUTED_VALUE"""),0.783611111111111)</f>
        <v>0.783611111111111</v>
      </c>
      <c r="S32" s="52">
        <f>IFERROR(__xludf.DUMMYFUNCTION("""COMPUTED_VALUE"""),0.790611111111111)</f>
        <v>0.790611111111111</v>
      </c>
      <c r="T32" s="52">
        <f>IFERROR(__xludf.DUMMYFUNCTION("""COMPUTED_VALUE"""),0.989333333333333)</f>
        <v>0.989333333333333</v>
      </c>
      <c r="U32" s="52">
        <f>IFERROR(__xludf.DUMMYFUNCTION("""COMPUTED_VALUE"""),0.783222222222222)</f>
        <v>0.783222222222222</v>
      </c>
      <c r="V32" s="52">
        <f>IFERROR(__xludf.DUMMYFUNCTION("""COMPUTED_VALUE"""),2.26722222222222)</f>
        <v>2.26722222222222</v>
      </c>
      <c r="W32" s="52">
        <f>IFERROR(__xludf.DUMMYFUNCTION("""COMPUTED_VALUE"""),0.474055555555555)</f>
        <v>0.474055555555555</v>
      </c>
    </row>
    <row r="33" ht="12.5" spans="2:23">
      <c r="B33" s="57" t="s">
        <v>45</v>
      </c>
      <c r="C33" s="58"/>
      <c r="D33" s="58">
        <v>0.15</v>
      </c>
      <c r="F33" s="57" t="s">
        <v>46</v>
      </c>
      <c r="G33" s="58">
        <v>0.16</v>
      </c>
      <c r="H33" s="3"/>
      <c r="I33" s="68" t="s">
        <v>46</v>
      </c>
      <c r="J33" s="59">
        <v>148</v>
      </c>
      <c r="K33" s="59" t="s">
        <v>34</v>
      </c>
      <c r="L33" s="59">
        <v>0.6</v>
      </c>
      <c r="Q33" s="52" t="str">
        <f>IFERROR(__xludf.DUMMYFUNCTION("""COMPUTED_VALUE"""),"Women dress")</f>
        <v>Women dress</v>
      </c>
      <c r="R33" s="52">
        <f>IFERROR(__xludf.DUMMYFUNCTION("""COMPUTED_VALUE"""),0.37479)</f>
        <v>0.37479</v>
      </c>
      <c r="S33" s="52">
        <f>IFERROR(__xludf.DUMMYFUNCTION("""COMPUTED_VALUE"""),0.378138)</f>
        <v>0.378138</v>
      </c>
      <c r="T33" s="52">
        <f>IFERROR(__xludf.DUMMYFUNCTION("""COMPUTED_VALUE"""),0.473184)</f>
        <v>0.473184</v>
      </c>
      <c r="U33" s="52">
        <f>IFERROR(__xludf.DUMMYFUNCTION("""COMPUTED_VALUE"""),0.374604)</f>
        <v>0.374604</v>
      </c>
      <c r="V33" s="52">
        <f>IFERROR(__xludf.DUMMYFUNCTION("""COMPUTED_VALUE"""),1.08438)</f>
        <v>1.08438</v>
      </c>
      <c r="W33" s="52">
        <f>IFERROR(__xludf.DUMMYFUNCTION("""COMPUTED_VALUE"""),0.226734)</f>
        <v>0.226734</v>
      </c>
    </row>
    <row r="34" ht="12.5" spans="2:23">
      <c r="B34" s="57" t="s">
        <v>47</v>
      </c>
      <c r="C34" s="58"/>
      <c r="D34" s="58">
        <v>0.2</v>
      </c>
      <c r="F34" s="57" t="s">
        <v>48</v>
      </c>
      <c r="G34" s="58">
        <v>0.18</v>
      </c>
      <c r="H34" s="3"/>
      <c r="I34" s="68" t="s">
        <v>48</v>
      </c>
      <c r="J34" s="59">
        <v>680</v>
      </c>
      <c r="K34" s="59" t="s">
        <v>36</v>
      </c>
      <c r="L34" s="59">
        <v>1.3</v>
      </c>
      <c r="Q34" s="52" t="str">
        <f>IFERROR(__xludf.DUMMYFUNCTION("""COMPUTED_VALUE"""),"Set of earings pck of 12")</f>
        <v>Set of earings pck of 12</v>
      </c>
      <c r="R34" s="52">
        <f>IFERROR(__xludf.DUMMYFUNCTION("""COMPUTED_VALUE"""),1.18213333333333)</f>
        <v>1.18213333333333</v>
      </c>
      <c r="S34" s="52">
        <f>IFERROR(__xludf.DUMMYFUNCTION("""COMPUTED_VALUE"""),1.19269333333333)</f>
        <v>1.19269333333333</v>
      </c>
      <c r="T34" s="52">
        <f>IFERROR(__xludf.DUMMYFUNCTION("""COMPUTED_VALUE"""),1.49248)</f>
        <v>1.49248</v>
      </c>
      <c r="U34" s="52">
        <f>IFERROR(__xludf.DUMMYFUNCTION("""COMPUTED_VALUE"""),1.18154666666666)</f>
        <v>1.18154666666666</v>
      </c>
      <c r="V34" s="52">
        <f>IFERROR(__xludf.DUMMYFUNCTION("""COMPUTED_VALUE"""),3.42026666666666)</f>
        <v>3.42026666666666</v>
      </c>
      <c r="W34" s="52">
        <f>IFERROR(__xludf.DUMMYFUNCTION("""COMPUTED_VALUE"""),0.715146666666666)</f>
        <v>0.715146666666666</v>
      </c>
    </row>
    <row r="35" ht="12.5" spans="2:23">
      <c r="B35" s="57" t="s">
        <v>5</v>
      </c>
      <c r="C35" s="58"/>
      <c r="D35" s="58">
        <v>0.2</v>
      </c>
      <c r="F35" s="57" t="s">
        <v>49</v>
      </c>
      <c r="G35" s="58">
        <v>0.2</v>
      </c>
      <c r="H35" s="3"/>
      <c r="I35" s="68" t="s">
        <v>49</v>
      </c>
      <c r="J35" s="59">
        <v>10.5</v>
      </c>
      <c r="Q35" s="52" t="str">
        <f>IFERROR(__xludf.DUMMYFUNCTION("""COMPUTED_VALUE"""),"Couple necklace pck of 2")</f>
        <v>Couple necklace pck of 2</v>
      </c>
      <c r="R35" s="52">
        <f>IFERROR(__xludf.DUMMYFUNCTION("""COMPUTED_VALUE"""),0.537333333333333)</f>
        <v>0.537333333333333</v>
      </c>
      <c r="S35" s="52">
        <f>IFERROR(__xludf.DUMMYFUNCTION("""COMPUTED_VALUE"""),0.542133333333333)</f>
        <v>0.542133333333333</v>
      </c>
      <c r="T35" s="52">
        <f>IFERROR(__xludf.DUMMYFUNCTION("""COMPUTED_VALUE"""),0.6784)</f>
        <v>0.6784</v>
      </c>
      <c r="U35" s="52">
        <f>IFERROR(__xludf.DUMMYFUNCTION("""COMPUTED_VALUE"""),0.537066666666666)</f>
        <v>0.537066666666666</v>
      </c>
      <c r="V35" s="52">
        <f>IFERROR(__xludf.DUMMYFUNCTION("""COMPUTED_VALUE"""),1.55466666666666)</f>
        <v>1.55466666666666</v>
      </c>
      <c r="W35" s="52">
        <f>IFERROR(__xludf.DUMMYFUNCTION("""COMPUTED_VALUE"""),0.325066666666666)</f>
        <v>0.325066666666666</v>
      </c>
    </row>
    <row r="36" ht="12.5" spans="2:23">
      <c r="B36" s="57" t="s">
        <v>50</v>
      </c>
      <c r="C36" s="58"/>
      <c r="D36" s="58">
        <v>0.2</v>
      </c>
      <c r="F36" s="57" t="s">
        <v>51</v>
      </c>
      <c r="G36" s="61">
        <v>0.181</v>
      </c>
      <c r="H36" s="3"/>
      <c r="I36" s="68" t="s">
        <v>51</v>
      </c>
      <c r="J36" s="59">
        <v>12.5</v>
      </c>
      <c r="Q36" s="52" t="str">
        <f>IFERROR(__xludf.DUMMYFUNCTION("""COMPUTED_VALUE"""),"Men Casual shoes")</f>
        <v>Men Casual shoes</v>
      </c>
      <c r="R36" s="52">
        <f>IFERROR(__xludf.DUMMYFUNCTION("""COMPUTED_VALUE"""),0.772360105263157)</f>
        <v>0.772360105263157</v>
      </c>
      <c r="S36" s="52">
        <f>IFERROR(__xludf.DUMMYFUNCTION("""COMPUTED_VALUE"""),0.7792596)</f>
        <v>0.7792596</v>
      </c>
      <c r="T36" s="52">
        <f>IFERROR(__xludf.DUMMYFUNCTION("""COMPUTED_VALUE"""),0.975128589473684)</f>
        <v>0.975128589473684</v>
      </c>
      <c r="U36" s="52">
        <f>IFERROR(__xludf.DUMMYFUNCTION("""COMPUTED_VALUE"""),0.7719768)</f>
        <v>0.7719768</v>
      </c>
      <c r="V36" s="52">
        <f>IFERROR(__xludf.DUMMYFUNCTION("""COMPUTED_VALUE"""),2.23466968421052)</f>
        <v>2.23466968421052</v>
      </c>
      <c r="W36" s="52">
        <f>IFERROR(__xludf.DUMMYFUNCTION("""COMPUTED_VALUE"""),0.467249115789473)</f>
        <v>0.467249115789473</v>
      </c>
    </row>
    <row r="37" ht="12.5" spans="2:23">
      <c r="B37" s="57" t="s">
        <v>52</v>
      </c>
      <c r="C37" s="58"/>
      <c r="D37" s="58">
        <v>0.2</v>
      </c>
      <c r="F37" s="57" t="s">
        <v>53</v>
      </c>
      <c r="G37" s="58">
        <v>0.18</v>
      </c>
      <c r="H37" s="3"/>
      <c r="I37" s="68" t="s">
        <v>53</v>
      </c>
      <c r="J37" s="59">
        <v>680</v>
      </c>
      <c r="Q37" s="52" t="str">
        <f>IFERROR(__xludf.DUMMYFUNCTION("""COMPUTED_VALUE"""),"Men Sports shoes")</f>
        <v>Men Sports shoes</v>
      </c>
      <c r="R37" s="52">
        <f>IFERROR(__xludf.DUMMYFUNCTION("""COMPUTED_VALUE"""),0.839919166666666)</f>
        <v>0.839919166666666</v>
      </c>
      <c r="S37" s="52">
        <f>IFERROR(__xludf.DUMMYFUNCTION("""COMPUTED_VALUE"""),0.847422166666666)</f>
        <v>0.847422166666666</v>
      </c>
      <c r="T37" s="52">
        <f>IFERROR(__xludf.DUMMYFUNCTION("""COMPUTED_VALUE"""),1.060424)</f>
        <v>1.060424</v>
      </c>
      <c r="U37" s="52">
        <f>IFERROR(__xludf.DUMMYFUNCTION("""COMPUTED_VALUE"""),0.839502333333333)</f>
        <v>0.839502333333333</v>
      </c>
      <c r="V37" s="52">
        <f>IFERROR(__xludf.DUMMYFUNCTION("""COMPUTED_VALUE"""),2.43013833333333)</f>
        <v>2.43013833333333</v>
      </c>
      <c r="W37" s="52">
        <f>IFERROR(__xludf.DUMMYFUNCTION("""COMPUTED_VALUE"""),0.508119833333333)</f>
        <v>0.508119833333333</v>
      </c>
    </row>
    <row r="38" ht="12.5" spans="2:23">
      <c r="B38" s="57" t="s">
        <v>54</v>
      </c>
      <c r="C38" s="58"/>
      <c r="D38" s="58">
        <v>0.2</v>
      </c>
      <c r="F38" s="57" t="s">
        <v>55</v>
      </c>
      <c r="G38" s="58">
        <v>0.18</v>
      </c>
      <c r="H38" s="3"/>
      <c r="I38" s="68" t="s">
        <v>55</v>
      </c>
      <c r="J38" s="59">
        <v>3800</v>
      </c>
      <c r="Q38" s="52" t="str">
        <f>IFERROR(__xludf.DUMMYFUNCTION("""COMPUTED_VALUE"""),"Men Formal shoes")</f>
        <v>Men Formal shoes</v>
      </c>
      <c r="R38" s="52">
        <f>IFERROR(__xludf.DUMMYFUNCTION("""COMPUTED_VALUE"""),3.4830484)</f>
        <v>3.4830484</v>
      </c>
      <c r="S38" s="52">
        <f>IFERROR(__xludf.DUMMYFUNCTION("""COMPUTED_VALUE"""),3.51416248)</f>
        <v>3.51416248</v>
      </c>
      <c r="T38" s="52">
        <f>IFERROR(__xludf.DUMMYFUNCTION("""COMPUTED_VALUE"""),4.39745664)</f>
        <v>4.39745664</v>
      </c>
      <c r="U38" s="52">
        <f>IFERROR(__xludf.DUMMYFUNCTION("""COMPUTED_VALUE"""),3.48131984)</f>
        <v>3.48131984</v>
      </c>
      <c r="V38" s="52">
        <f>IFERROR(__xludf.DUMMYFUNCTION("""COMPUTED_VALUE"""),10.0775048)</f>
        <v>10.0775048</v>
      </c>
      <c r="W38" s="52">
        <f>IFERROR(__xludf.DUMMYFUNCTION("""COMPUTED_VALUE"""),2.10711464)</f>
        <v>2.10711464</v>
      </c>
    </row>
    <row r="39" ht="12.5" spans="2:23">
      <c r="B39" s="57" t="s">
        <v>56</v>
      </c>
      <c r="C39" s="58"/>
      <c r="D39" s="58">
        <v>0.2</v>
      </c>
      <c r="F39" s="3" t="s">
        <v>486</v>
      </c>
      <c r="G39" s="62">
        <v>0</v>
      </c>
      <c r="H39" s="3"/>
      <c r="I39" s="59" t="s">
        <v>486</v>
      </c>
      <c r="J39" s="59">
        <v>21</v>
      </c>
      <c r="Q39" s="52" t="str">
        <f>IFERROR(__xludf.DUMMYFUNCTION("""COMPUTED_VALUE"""),"belt")</f>
        <v>belt</v>
      </c>
      <c r="R39" s="52">
        <f>IFERROR(__xludf.DUMMYFUNCTION("""COMPUTED_VALUE"""),0.3224)</f>
        <v>0.3224</v>
      </c>
      <c r="S39" s="52">
        <f>IFERROR(__xludf.DUMMYFUNCTION("""COMPUTED_VALUE"""),0.32528)</f>
        <v>0.32528</v>
      </c>
      <c r="T39" s="52">
        <f>IFERROR(__xludf.DUMMYFUNCTION("""COMPUTED_VALUE"""),0.40704)</f>
        <v>0.40704</v>
      </c>
      <c r="U39" s="52">
        <f>IFERROR(__xludf.DUMMYFUNCTION("""COMPUTED_VALUE"""),0.32224)</f>
        <v>0.32224</v>
      </c>
      <c r="V39" s="52">
        <f>IFERROR(__xludf.DUMMYFUNCTION("""COMPUTED_VALUE"""),0.9328)</f>
        <v>0.9328</v>
      </c>
      <c r="W39" s="52">
        <f>IFERROR(__xludf.DUMMYFUNCTION("""COMPUTED_VALUE"""),0.19504)</f>
        <v>0.19504</v>
      </c>
    </row>
    <row r="40" ht="12.5" spans="2:23">
      <c r="B40" s="57" t="s">
        <v>57</v>
      </c>
      <c r="C40" s="58"/>
      <c r="D40" s="58">
        <v>0.2</v>
      </c>
      <c r="F40" s="3"/>
      <c r="G40" s="3"/>
      <c r="H40" s="3"/>
      <c r="I40" s="3"/>
      <c r="J40" s="3"/>
      <c r="Q40" s="52" t="str">
        <f>IFERROR(__xludf.DUMMYFUNCTION("""COMPUTED_VALUE"""),"Sunglasses")</f>
        <v>Sunglasses</v>
      </c>
      <c r="R40" s="52">
        <f>IFERROR(__xludf.DUMMYFUNCTION("""COMPUTED_VALUE"""),0.14508)</f>
        <v>0.14508</v>
      </c>
      <c r="S40" s="52">
        <f>IFERROR(__xludf.DUMMYFUNCTION("""COMPUTED_VALUE"""),0.146376)</f>
        <v>0.146376</v>
      </c>
      <c r="T40" s="52">
        <f>IFERROR(__xludf.DUMMYFUNCTION("""COMPUTED_VALUE"""),0.183168)</f>
        <v>0.183168</v>
      </c>
      <c r="U40" s="52">
        <f>IFERROR(__xludf.DUMMYFUNCTION("""COMPUTED_VALUE"""),0.145008)</f>
        <v>0.145008</v>
      </c>
      <c r="V40" s="52">
        <f>IFERROR(__xludf.DUMMYFUNCTION("""COMPUTED_VALUE"""),0.419759999999999)</f>
        <v>0.419759999999999</v>
      </c>
      <c r="W40" s="52">
        <f>IFERROR(__xludf.DUMMYFUNCTION("""COMPUTED_VALUE"""),0.087768)</f>
        <v>0.087768</v>
      </c>
    </row>
    <row r="41" ht="12.5" spans="6:23">
      <c r="F41" s="3"/>
      <c r="G41" s="3"/>
      <c r="H41" s="3"/>
      <c r="I41" s="3"/>
      <c r="J41" s="3"/>
      <c r="Q41" s="52" t="str">
        <f>IFERROR(__xludf.DUMMYFUNCTION("""COMPUTED_VALUE"""),"watch")</f>
        <v>watch</v>
      </c>
      <c r="R41" s="52">
        <f>IFERROR(__xludf.DUMMYFUNCTION("""COMPUTED_VALUE"""),0.12359204)</f>
        <v>0.12359204</v>
      </c>
      <c r="S41" s="52">
        <f>IFERROR(__xludf.DUMMYFUNCTION("""COMPUTED_VALUE"""),0.124696088)</f>
        <v>0.124696088</v>
      </c>
      <c r="T41" s="52">
        <f>IFERROR(__xludf.DUMMYFUNCTION("""COMPUTED_VALUE"""),0.156038783999999)</f>
        <v>0.156038783999999</v>
      </c>
      <c r="U41" s="52">
        <f>IFERROR(__xludf.DUMMYFUNCTION("""COMPUTED_VALUE"""),0.123530703999999)</f>
        <v>0.123530703999999</v>
      </c>
      <c r="V41" s="52">
        <f>IFERROR(__xludf.DUMMYFUNCTION("""COMPUTED_VALUE"""),0.35758888)</f>
        <v>0.35758888</v>
      </c>
      <c r="W41" s="52">
        <f>IFERROR(__xludf.DUMMYFUNCTION("""COMPUTED_VALUE"""),0.074768584)</f>
        <v>0.074768584</v>
      </c>
    </row>
    <row r="42" ht="12.5" spans="6:23">
      <c r="F42" s="3"/>
      <c r="G42" s="3"/>
      <c r="H42" s="3"/>
      <c r="I42" s="3"/>
      <c r="J42" s="3"/>
      <c r="Q42" s="52" t="str">
        <f>IFERROR(__xludf.DUMMYFUNCTION("""COMPUTED_VALUE"""),"Bag- laptop bag")</f>
        <v>Bag- laptop bag</v>
      </c>
      <c r="R42" s="52">
        <f>IFERROR(__xludf.DUMMYFUNCTION("""COMPUTED_VALUE"""),1.243542742)</f>
        <v>1.243542742</v>
      </c>
      <c r="S42" s="52">
        <f>IFERROR(__xludf.DUMMYFUNCTION("""COMPUTED_VALUE"""),1.2546513124)</f>
        <v>1.2546513124</v>
      </c>
      <c r="T42" s="52">
        <f>IFERROR(__xludf.DUMMYFUNCTION("""COMPUTED_VALUE"""),1.5700112832)</f>
        <v>1.5700112832</v>
      </c>
      <c r="U42" s="52">
        <f>IFERROR(__xludf.DUMMYFUNCTION("""COMPUTED_VALUE"""),1.2429255992)</f>
        <v>1.2429255992</v>
      </c>
      <c r="V42" s="52">
        <f>IFERROR(__xludf.DUMMYFUNCTION("""COMPUTED_VALUE"""),3.59794252399999)</f>
        <v>3.59794252399999</v>
      </c>
      <c r="W42" s="52">
        <f>IFERROR(__xludf.DUMMYFUNCTION("""COMPUTED_VALUE"""),0.752297073199999)</f>
        <v>0.752297073199999</v>
      </c>
    </row>
    <row r="43" ht="12.5" spans="6:23">
      <c r="F43" s="3"/>
      <c r="G43" s="3"/>
      <c r="H43" s="3"/>
      <c r="I43" s="3"/>
      <c r="J43" s="3"/>
      <c r="Q43" s="52" t="str">
        <f>IFERROR(__xludf.DUMMYFUNCTION("""COMPUTED_VALUE"""),"Bag- lady's carring bag")</f>
        <v>Bag- lady's carring bag</v>
      </c>
      <c r="R43" s="52">
        <f>IFERROR(__xludf.DUMMYFUNCTION("""COMPUTED_VALUE"""),1.465454692)</f>
        <v>1.465454692</v>
      </c>
      <c r="S43" s="52">
        <f>IFERROR(__xludf.DUMMYFUNCTION("""COMPUTED_VALUE"""),1.4785456024)</f>
        <v>1.4785456024</v>
      </c>
      <c r="T43" s="52">
        <f>IFERROR(__xludf.DUMMYFUNCTION("""COMPUTED_VALUE"""),1.8501820032)</f>
        <v>1.8501820032</v>
      </c>
      <c r="U43" s="52">
        <f>IFERROR(__xludf.DUMMYFUNCTION("""COMPUTED_VALUE"""),1.4647274192)</f>
        <v>1.4647274192</v>
      </c>
      <c r="V43" s="52">
        <f>IFERROR(__xludf.DUMMYFUNCTION("""COMPUTED_VALUE"""),4.240000424)</f>
        <v>4.240000424</v>
      </c>
      <c r="W43" s="52">
        <f>IFERROR(__xludf.DUMMYFUNCTION("""COMPUTED_VALUE"""),0.8865455432)</f>
        <v>0.8865455432</v>
      </c>
    </row>
    <row r="44" ht="12.5" spans="2:23">
      <c r="B44" s="52" t="s">
        <v>488</v>
      </c>
      <c r="C44" s="63" t="s">
        <v>489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52" t="str">
        <f>IFERROR(__xludf.DUMMYFUNCTION("""COMPUTED_VALUE"""),"Bag- 4in1")</f>
        <v>Bag- 4in1</v>
      </c>
      <c r="R44" s="52">
        <f>IFERROR(__xludf.DUMMYFUNCTION("""COMPUTED_VALUE"""),1.0881)</f>
        <v>1.0881</v>
      </c>
      <c r="S44" s="52">
        <f>IFERROR(__xludf.DUMMYFUNCTION("""COMPUTED_VALUE"""),1.09782)</f>
        <v>1.09782</v>
      </c>
      <c r="T44" s="52">
        <f>IFERROR(__xludf.DUMMYFUNCTION("""COMPUTED_VALUE"""),1.37376)</f>
        <v>1.37376</v>
      </c>
      <c r="U44" s="52">
        <f>IFERROR(__xludf.DUMMYFUNCTION("""COMPUTED_VALUE"""),1.08756)</f>
        <v>1.08756</v>
      </c>
      <c r="V44" s="52">
        <f>IFERROR(__xludf.DUMMYFUNCTION("""COMPUTED_VALUE"""),3.1482)</f>
        <v>3.1482</v>
      </c>
      <c r="W44" s="52">
        <f>IFERROR(__xludf.DUMMYFUNCTION("""COMPUTED_VALUE"""),0.65826)</f>
        <v>0.65826</v>
      </c>
    </row>
    <row r="45" ht="12.5" spans="6:23">
      <c r="F45" s="3"/>
      <c r="G45" s="3"/>
      <c r="H45" s="3"/>
      <c r="I45" s="3"/>
      <c r="J45" s="3"/>
      <c r="K45" s="3"/>
      <c r="L45" s="3"/>
      <c r="M45" s="3"/>
      <c r="N45" s="3"/>
      <c r="O45" s="3"/>
      <c r="Q45" s="52" t="str">
        <f>IFERROR(__xludf.DUMMYFUNCTION("""COMPUTED_VALUE"""),"Slippers")</f>
        <v>Slippers</v>
      </c>
      <c r="R45" s="52">
        <f>IFERROR(__xludf.DUMMYFUNCTION("""COMPUTED_VALUE"""),0.848315)</f>
        <v>0.848315</v>
      </c>
      <c r="S45" s="52">
        <f>IFERROR(__xludf.DUMMYFUNCTION("""COMPUTED_VALUE"""),0.855893)</f>
        <v>0.855893</v>
      </c>
      <c r="T45" s="52">
        <f>IFERROR(__xludf.DUMMYFUNCTION("""COMPUTED_VALUE"""),1.071024)</f>
        <v>1.071024</v>
      </c>
      <c r="U45" s="52">
        <f>IFERROR(__xludf.DUMMYFUNCTION("""COMPUTED_VALUE"""),0.847894)</f>
        <v>0.847894</v>
      </c>
      <c r="V45" s="52">
        <f>IFERROR(__xludf.DUMMYFUNCTION("""COMPUTED_VALUE"""),2.45443)</f>
        <v>2.45443</v>
      </c>
      <c r="W45" s="52">
        <f>IFERROR(__xludf.DUMMYFUNCTION("""COMPUTED_VALUE"""),0.513199)</f>
        <v>0.513199</v>
      </c>
    </row>
    <row r="46" ht="13" spans="6:23">
      <c r="F46" s="64" t="s">
        <v>490</v>
      </c>
      <c r="H46" s="62"/>
      <c r="I46" s="62"/>
      <c r="J46" s="62"/>
      <c r="K46" s="62"/>
      <c r="L46" s="62"/>
      <c r="M46" s="62"/>
      <c r="N46" s="62"/>
      <c r="O46" s="62"/>
      <c r="Q46" s="52" t="str">
        <f>IFERROR(__xludf.DUMMYFUNCTION("""COMPUTED_VALUE"""),"20K MAh powerbank")</f>
        <v>20K MAh powerbank</v>
      </c>
      <c r="R46" s="52">
        <f>IFERROR(__xludf.DUMMYFUNCTION("""COMPUTED_VALUE"""),0.4)</f>
        <v>0.4</v>
      </c>
      <c r="S46" s="52">
        <f>IFERROR(__xludf.DUMMYFUNCTION("""COMPUTED_VALUE"""),0.4)</f>
        <v>0.4</v>
      </c>
      <c r="T46" s="52">
        <f>IFERROR(__xludf.DUMMYFUNCTION("""COMPUTED_VALUE"""),0.4)</f>
        <v>0.4</v>
      </c>
      <c r="U46" s="52">
        <f>IFERROR(__xludf.DUMMYFUNCTION("""COMPUTED_VALUE"""),0.4)</f>
        <v>0.4</v>
      </c>
      <c r="V46" s="52">
        <f>IFERROR(__xludf.DUMMYFUNCTION("""COMPUTED_VALUE"""),0.4)</f>
        <v>0.4</v>
      </c>
      <c r="W46" s="52">
        <f>IFERROR(__xludf.DUMMYFUNCTION("""COMPUTED_VALUE"""),0.4)</f>
        <v>0.4</v>
      </c>
    </row>
    <row r="47" ht="12.5" spans="6:23">
      <c r="F47" s="3" t="s">
        <v>1</v>
      </c>
      <c r="G47" s="65">
        <v>0.092</v>
      </c>
      <c r="H47" s="3"/>
      <c r="I47" s="3"/>
      <c r="J47" s="3"/>
      <c r="Q47" s="52" t="str">
        <f>IFERROR(__xludf.DUMMYFUNCTION("""COMPUTED_VALUE"""),"10K MAh powerbank")</f>
        <v>10K MAh powerbank</v>
      </c>
      <c r="R47" s="52">
        <f>IFERROR(__xludf.DUMMYFUNCTION("""COMPUTED_VALUE"""),0.4)</f>
        <v>0.4</v>
      </c>
      <c r="S47" s="52">
        <f>IFERROR(__xludf.DUMMYFUNCTION("""COMPUTED_VALUE"""),0.4)</f>
        <v>0.4</v>
      </c>
      <c r="T47" s="52">
        <f>IFERROR(__xludf.DUMMYFUNCTION("""COMPUTED_VALUE"""),0.4)</f>
        <v>0.4</v>
      </c>
      <c r="U47" s="52">
        <f>IFERROR(__xludf.DUMMYFUNCTION("""COMPUTED_VALUE"""),0.4)</f>
        <v>0.4</v>
      </c>
      <c r="V47" s="52">
        <f>IFERROR(__xludf.DUMMYFUNCTION("""COMPUTED_VALUE"""),0.4)</f>
        <v>0.4</v>
      </c>
      <c r="W47" s="52">
        <f>IFERROR(__xludf.DUMMYFUNCTION("""COMPUTED_VALUE"""),0.4)</f>
        <v>0.4</v>
      </c>
    </row>
    <row r="48" ht="12.5" spans="6:23">
      <c r="F48" s="3" t="s">
        <v>48</v>
      </c>
      <c r="G48" s="65">
        <v>0.052</v>
      </c>
      <c r="H48" s="3"/>
      <c r="I48" s="3"/>
      <c r="J48" s="3"/>
      <c r="Q48" s="52" t="str">
        <f>IFERROR(__xludf.DUMMYFUNCTION("""COMPUTED_VALUE"""),"USB drive 64G")</f>
        <v>USB drive 64G</v>
      </c>
      <c r="R48" s="52">
        <f>IFERROR(__xludf.DUMMYFUNCTION("""COMPUTED_VALUE"""),0.174096)</f>
        <v>0.174096</v>
      </c>
      <c r="S48" s="52">
        <f>IFERROR(__xludf.DUMMYFUNCTION("""COMPUTED_VALUE"""),0.1756512)</f>
        <v>0.1756512</v>
      </c>
      <c r="T48" s="52">
        <f>IFERROR(__xludf.DUMMYFUNCTION("""COMPUTED_VALUE"""),0.219801599999999)</f>
        <v>0.219801599999999</v>
      </c>
      <c r="U48" s="52">
        <f>IFERROR(__xludf.DUMMYFUNCTION("""COMPUTED_VALUE"""),0.1740096)</f>
        <v>0.1740096</v>
      </c>
      <c r="V48" s="52">
        <f>IFERROR(__xludf.DUMMYFUNCTION("""COMPUTED_VALUE"""),0.503711999999999)</f>
        <v>0.503711999999999</v>
      </c>
      <c r="W48" s="52">
        <f>IFERROR(__xludf.DUMMYFUNCTION("""COMPUTED_VALUE"""),0.1053216)</f>
        <v>0.1053216</v>
      </c>
    </row>
    <row r="49" ht="12.5" spans="6:23">
      <c r="F49" s="3" t="s">
        <v>46</v>
      </c>
      <c r="G49" s="65">
        <v>0.137</v>
      </c>
      <c r="H49" s="3"/>
      <c r="I49" s="3"/>
      <c r="J49" s="3"/>
      <c r="Q49" s="52" t="str">
        <f>IFERROR(__xludf.DUMMYFUNCTION("""COMPUTED_VALUE"""),"USB drive 128G")</f>
        <v>USB drive 128G</v>
      </c>
      <c r="R49" s="52">
        <f>IFERROR(__xludf.DUMMYFUNCTION("""COMPUTED_VALUE"""),0.174096)</f>
        <v>0.174096</v>
      </c>
      <c r="S49" s="52">
        <f>IFERROR(__xludf.DUMMYFUNCTION("""COMPUTED_VALUE"""),0.1756512)</f>
        <v>0.1756512</v>
      </c>
      <c r="T49" s="52">
        <f>IFERROR(__xludf.DUMMYFUNCTION("""COMPUTED_VALUE"""),0.219801599999999)</f>
        <v>0.219801599999999</v>
      </c>
      <c r="U49" s="52">
        <f>IFERROR(__xludf.DUMMYFUNCTION("""COMPUTED_VALUE"""),0.1740096)</f>
        <v>0.1740096</v>
      </c>
      <c r="V49" s="52">
        <f>IFERROR(__xludf.DUMMYFUNCTION("""COMPUTED_VALUE"""),0.503711999999999)</f>
        <v>0.503711999999999</v>
      </c>
      <c r="W49" s="52">
        <f>IFERROR(__xludf.DUMMYFUNCTION("""COMPUTED_VALUE"""),0.1053216)</f>
        <v>0.1053216</v>
      </c>
    </row>
    <row r="50" ht="12.5" spans="6:23">
      <c r="F50" s="3" t="s">
        <v>53</v>
      </c>
      <c r="G50" s="65">
        <v>0.06</v>
      </c>
      <c r="H50" s="3"/>
      <c r="I50" s="3"/>
      <c r="J50" s="3"/>
      <c r="Q50" s="52" t="str">
        <f>IFERROR(__xludf.DUMMYFUNCTION("""COMPUTED_VALUE"""),"Wireless earphones airpod style")</f>
        <v>Wireless earphones airpod style</v>
      </c>
      <c r="R50" s="52">
        <f>IFERROR(__xludf.DUMMYFUNCTION("""COMPUTED_VALUE"""),0.142259)</f>
        <v>0.142259</v>
      </c>
      <c r="S50" s="52">
        <f>IFERROR(__xludf.DUMMYFUNCTION("""COMPUTED_VALUE"""),0.1435298)</f>
        <v>0.1435298</v>
      </c>
      <c r="T50" s="52">
        <f>IFERROR(__xludf.DUMMYFUNCTION("""COMPUTED_VALUE"""),0.1796064)</f>
        <v>0.1796064</v>
      </c>
      <c r="U50" s="52">
        <f>IFERROR(__xludf.DUMMYFUNCTION("""COMPUTED_VALUE"""),0.1421884)</f>
        <v>0.1421884</v>
      </c>
      <c r="V50" s="52">
        <f>IFERROR(__xludf.DUMMYFUNCTION("""COMPUTED_VALUE"""),0.411598)</f>
        <v>0.411598</v>
      </c>
      <c r="W50" s="52">
        <f>IFERROR(__xludf.DUMMYFUNCTION("""COMPUTED_VALUE"""),0.0860614)</f>
        <v>0.0860614</v>
      </c>
    </row>
    <row r="51" ht="12.5" spans="6:23">
      <c r="F51" s="3" t="s">
        <v>55</v>
      </c>
      <c r="G51" s="65">
        <v>0.06</v>
      </c>
      <c r="H51" s="3"/>
      <c r="I51" s="3"/>
      <c r="J51" s="3"/>
      <c r="Q51" s="52" t="str">
        <f>IFERROR(__xludf.DUMMYFUNCTION("""COMPUTED_VALUE"""),"Wireless earphones F9 style")</f>
        <v>Wireless earphones F9 style</v>
      </c>
      <c r="R51" s="52">
        <f>IFERROR(__xludf.DUMMYFUNCTION("""COMPUTED_VALUE"""),0.1599507)</f>
        <v>0.1599507</v>
      </c>
      <c r="S51" s="52">
        <f>IFERROR(__xludf.DUMMYFUNCTION("""COMPUTED_VALUE"""),0.16137954)</f>
        <v>0.16137954</v>
      </c>
      <c r="T51" s="52">
        <f>IFERROR(__xludf.DUMMYFUNCTION("""COMPUTED_VALUE"""),0.20194272)</f>
        <v>0.20194272</v>
      </c>
      <c r="U51" s="52">
        <f>IFERROR(__xludf.DUMMYFUNCTION("""COMPUTED_VALUE"""),0.15987132)</f>
        <v>0.15987132</v>
      </c>
      <c r="V51" s="52">
        <f>IFERROR(__xludf.DUMMYFUNCTION("""COMPUTED_VALUE"""),0.4627854)</f>
        <v>0.4627854</v>
      </c>
      <c r="W51" s="52">
        <f>IFERROR(__xludf.DUMMYFUNCTION("""COMPUTED_VALUE"""),0.09676422)</f>
        <v>0.09676422</v>
      </c>
    </row>
    <row r="52" ht="12.5" spans="6:23">
      <c r="F52" s="3" t="s">
        <v>49</v>
      </c>
      <c r="G52" s="65">
        <v>0.123</v>
      </c>
      <c r="H52" s="3"/>
      <c r="I52" s="3"/>
      <c r="J52" s="3"/>
      <c r="Q52" s="52" t="str">
        <f>IFERROR(__xludf.DUMMYFUNCTION("""COMPUTED_VALUE"""),"Wireless speaker")</f>
        <v>Wireless speaker</v>
      </c>
      <c r="R52" s="52">
        <f>IFERROR(__xludf.DUMMYFUNCTION("""COMPUTED_VALUE"""),0.667368)</f>
        <v>0.667368</v>
      </c>
      <c r="S52" s="52">
        <f>IFERROR(__xludf.DUMMYFUNCTION("""COMPUTED_VALUE"""),0.6733296)</f>
        <v>0.6733296</v>
      </c>
      <c r="T52" s="52">
        <f>IFERROR(__xludf.DUMMYFUNCTION("""COMPUTED_VALUE"""),0.8425728)</f>
        <v>0.8425728</v>
      </c>
      <c r="U52" s="52">
        <f>IFERROR(__xludf.DUMMYFUNCTION("""COMPUTED_VALUE"""),0.6670368)</f>
        <v>0.6670368</v>
      </c>
      <c r="V52" s="52">
        <f>IFERROR(__xludf.DUMMYFUNCTION("""COMPUTED_VALUE"""),1.930896)</f>
        <v>1.930896</v>
      </c>
      <c r="W52" s="52">
        <f>IFERROR(__xludf.DUMMYFUNCTION("""COMPUTED_VALUE"""),0.4037328)</f>
        <v>0.4037328</v>
      </c>
    </row>
    <row r="53" ht="12.5" spans="6:23">
      <c r="F53" s="3" t="s">
        <v>44</v>
      </c>
      <c r="G53" s="65">
        <v>0.401</v>
      </c>
      <c r="H53" s="3"/>
      <c r="I53" s="3"/>
      <c r="J53" s="3"/>
      <c r="Q53" s="52" t="str">
        <f>IFERROR(__xludf.DUMMYFUNCTION("""COMPUTED_VALUE"""),"Smartwatch")</f>
        <v>Smartwatch</v>
      </c>
      <c r="R53" s="52">
        <f>IFERROR(__xludf.DUMMYFUNCTION("""COMPUTED_VALUE"""),0.38688)</f>
        <v>0.38688</v>
      </c>
      <c r="S53" s="52">
        <f>IFERROR(__xludf.DUMMYFUNCTION("""COMPUTED_VALUE"""),0.390336)</f>
        <v>0.390336</v>
      </c>
      <c r="T53" s="52">
        <f>IFERROR(__xludf.DUMMYFUNCTION("""COMPUTED_VALUE"""),0.488448)</f>
        <v>0.488448</v>
      </c>
      <c r="U53" s="52">
        <f>IFERROR(__xludf.DUMMYFUNCTION("""COMPUTED_VALUE"""),0.386688)</f>
        <v>0.386688</v>
      </c>
      <c r="V53" s="52">
        <f>IFERROR(__xludf.DUMMYFUNCTION("""COMPUTED_VALUE"""),1.11936)</f>
        <v>1.11936</v>
      </c>
      <c r="W53" s="52">
        <f>IFERROR(__xludf.DUMMYFUNCTION("""COMPUTED_VALUE"""),0.234048)</f>
        <v>0.234048</v>
      </c>
    </row>
    <row r="54" ht="12.5" spans="6:23">
      <c r="F54" s="3" t="s">
        <v>486</v>
      </c>
      <c r="G54" s="65">
        <v>0.02</v>
      </c>
      <c r="H54" s="3"/>
      <c r="I54" s="3"/>
      <c r="J54" s="3"/>
      <c r="Q54" s="52" t="str">
        <f>IFERROR(__xludf.DUMMYFUNCTION("""COMPUTED_VALUE"""),"Feature phone")</f>
        <v>Feature phone</v>
      </c>
      <c r="R54" s="52">
        <f>IFERROR(__xludf.DUMMYFUNCTION("""COMPUTED_VALUE"""),0.39494)</f>
        <v>0.39494</v>
      </c>
      <c r="S54" s="52">
        <f>IFERROR(__xludf.DUMMYFUNCTION("""COMPUTED_VALUE"""),0.398468)</f>
        <v>0.398468</v>
      </c>
      <c r="T54" s="52">
        <f>IFERROR(__xludf.DUMMYFUNCTION("""COMPUTED_VALUE"""),0.498624)</f>
        <v>0.498624</v>
      </c>
      <c r="U54" s="52">
        <f>IFERROR(__xludf.DUMMYFUNCTION("""COMPUTED_VALUE"""),0.394744)</f>
        <v>0.394744</v>
      </c>
      <c r="V54" s="52">
        <f>IFERROR(__xludf.DUMMYFUNCTION("""COMPUTED_VALUE"""),1.14268)</f>
        <v>1.14268</v>
      </c>
      <c r="W54" s="52">
        <f>IFERROR(__xludf.DUMMYFUNCTION("""COMPUTED_VALUE"""),0.238924)</f>
        <v>0.238924</v>
      </c>
    </row>
    <row r="55" ht="12.5" spans="6:23">
      <c r="F55" s="3" t="s">
        <v>51</v>
      </c>
      <c r="G55" s="65">
        <v>0.135</v>
      </c>
      <c r="H55" s="3"/>
      <c r="I55" s="3"/>
      <c r="J55" s="3"/>
      <c r="Q55" s="52" t="str">
        <f>IFERROR(__xludf.DUMMYFUNCTION("""COMPUTED_VALUE"""),"Laptop mouse")</f>
        <v>Laptop mouse</v>
      </c>
      <c r="R55" s="52">
        <f>IFERROR(__xludf.DUMMYFUNCTION("""COMPUTED_VALUE"""),0.2154438)</f>
        <v>0.2154438</v>
      </c>
      <c r="S55" s="52">
        <f>IFERROR(__xludf.DUMMYFUNCTION("""COMPUTED_VALUE"""),0.21736836)</f>
        <v>0.21736836</v>
      </c>
      <c r="T55" s="52">
        <f>IFERROR(__xludf.DUMMYFUNCTION("""COMPUTED_VALUE"""),0.27200448)</f>
        <v>0.27200448</v>
      </c>
      <c r="U55" s="52">
        <f>IFERROR(__xludf.DUMMYFUNCTION("""COMPUTED_VALUE"""),0.21533688)</f>
        <v>0.21533688</v>
      </c>
      <c r="V55" s="52">
        <f>IFERROR(__xludf.DUMMYFUNCTION("""COMPUTED_VALUE"""),0.6233436)</f>
        <v>0.6233436</v>
      </c>
      <c r="W55" s="52">
        <f>IFERROR(__xludf.DUMMYFUNCTION("""COMPUTED_VALUE"""),0.13033548)</f>
        <v>0.13033548</v>
      </c>
    </row>
    <row r="56" ht="12.5" spans="6:23">
      <c r="F56" s="3"/>
      <c r="G56" s="3"/>
      <c r="H56" s="3"/>
      <c r="I56" s="3"/>
      <c r="J56" s="3"/>
      <c r="Q56" s="52" t="str">
        <f>IFERROR(__xludf.DUMMYFUNCTION("""COMPUTED_VALUE"""),"Basic toolkit")</f>
        <v>Basic toolkit</v>
      </c>
      <c r="R56" s="52">
        <f>IFERROR(__xludf.DUMMYFUNCTION("""COMPUTED_VALUE"""),1.67916666666666)</f>
        <v>1.67916666666666</v>
      </c>
      <c r="S56" s="52">
        <f>IFERROR(__xludf.DUMMYFUNCTION("""COMPUTED_VALUE"""),1.69416666666666)</f>
        <v>1.69416666666666</v>
      </c>
      <c r="T56" s="52">
        <f>IFERROR(__xludf.DUMMYFUNCTION("""COMPUTED_VALUE"""),2.12)</f>
        <v>2.12</v>
      </c>
      <c r="U56" s="52">
        <f>IFERROR(__xludf.DUMMYFUNCTION("""COMPUTED_VALUE"""),1.67833333333333)</f>
        <v>1.67833333333333</v>
      </c>
      <c r="V56" s="52">
        <f>IFERROR(__xludf.DUMMYFUNCTION("""COMPUTED_VALUE"""),4.85833333333333)</f>
        <v>4.85833333333333</v>
      </c>
      <c r="W56" s="52">
        <f>IFERROR(__xludf.DUMMYFUNCTION("""COMPUTED_VALUE"""),1.01583333333333)</f>
        <v>1.01583333333333</v>
      </c>
    </row>
    <row r="57" ht="12.5" spans="6:23">
      <c r="F57" s="3"/>
      <c r="G57" s="3"/>
      <c r="H57" s="3"/>
      <c r="I57" s="3"/>
      <c r="J57" s="3"/>
      <c r="Q57" s="52" t="str">
        <f>IFERROR(__xludf.DUMMYFUNCTION("""COMPUTED_VALUE"""),"Hand towel")</f>
        <v>Hand towel</v>
      </c>
      <c r="R57" s="52">
        <f>IFERROR(__xludf.DUMMYFUNCTION("""COMPUTED_VALUE"""),0.1209)</f>
        <v>0.1209</v>
      </c>
      <c r="S57" s="52">
        <f>IFERROR(__xludf.DUMMYFUNCTION("""COMPUTED_VALUE"""),0.121979999999999)</f>
        <v>0.121979999999999</v>
      </c>
      <c r="T57" s="52">
        <f>IFERROR(__xludf.DUMMYFUNCTION("""COMPUTED_VALUE"""),0.15264)</f>
        <v>0.15264</v>
      </c>
      <c r="U57" s="52">
        <f>IFERROR(__xludf.DUMMYFUNCTION("""COMPUTED_VALUE"""),0.120839999999999)</f>
        <v>0.120839999999999</v>
      </c>
      <c r="V57" s="52">
        <f>IFERROR(__xludf.DUMMYFUNCTION("""COMPUTED_VALUE"""),0.349799999999999)</f>
        <v>0.349799999999999</v>
      </c>
      <c r="W57" s="52">
        <f>IFERROR(__xludf.DUMMYFUNCTION("""COMPUTED_VALUE"""),0.07314)</f>
        <v>0.07314</v>
      </c>
    </row>
    <row r="58" ht="12.5" spans="6:23">
      <c r="F58" s="3"/>
      <c r="G58" s="3"/>
      <c r="H58" s="3"/>
      <c r="I58" s="3"/>
      <c r="J58" s="3"/>
      <c r="Q58" s="52" t="str">
        <f>IFERROR(__xludf.DUMMYFUNCTION("""COMPUTED_VALUE"""),"Shower/Bath towel")</f>
        <v>Shower/Bath towel</v>
      </c>
      <c r="R58" s="52">
        <f>IFERROR(__xludf.DUMMYFUNCTION("""COMPUTED_VALUE"""),0.604499999999999)</f>
        <v>0.604499999999999</v>
      </c>
      <c r="S58" s="52">
        <f>IFERROR(__xludf.DUMMYFUNCTION("""COMPUTED_VALUE"""),0.6099)</f>
        <v>0.6099</v>
      </c>
      <c r="T58" s="52">
        <f>IFERROR(__xludf.DUMMYFUNCTION("""COMPUTED_VALUE"""),0.763199999999999)</f>
        <v>0.763199999999999</v>
      </c>
      <c r="U58" s="52">
        <f>IFERROR(__xludf.DUMMYFUNCTION("""COMPUTED_VALUE"""),0.6042)</f>
        <v>0.6042</v>
      </c>
      <c r="V58" s="52">
        <f>IFERROR(__xludf.DUMMYFUNCTION("""COMPUTED_VALUE"""),1.74899999999999)</f>
        <v>1.74899999999999</v>
      </c>
      <c r="W58" s="52">
        <f>IFERROR(__xludf.DUMMYFUNCTION("""COMPUTED_VALUE"""),0.365699999999999)</f>
        <v>0.365699999999999</v>
      </c>
    </row>
    <row r="59" ht="12.5" spans="6:23">
      <c r="F59" s="3"/>
      <c r="G59" s="3"/>
      <c r="H59" s="3"/>
      <c r="I59" s="3"/>
      <c r="J59" s="3"/>
      <c r="Q59" s="52" t="str">
        <f>IFERROR(__xludf.DUMMYFUNCTION("""COMPUTED_VALUE"""),"Fan- Small")</f>
        <v>Fan- Small</v>
      </c>
      <c r="R59" s="52">
        <f>IFERROR(__xludf.DUMMYFUNCTION("""COMPUTED_VALUE"""),1.279525)</f>
        <v>1.279525</v>
      </c>
      <c r="S59" s="52">
        <f>IFERROR(__xludf.DUMMYFUNCTION("""COMPUTED_VALUE"""),1.290955)</f>
        <v>1.290955</v>
      </c>
      <c r="T59" s="52">
        <f>IFERROR(__xludf.DUMMYFUNCTION("""COMPUTED_VALUE"""),1.61544)</f>
        <v>1.61544</v>
      </c>
      <c r="U59" s="52">
        <f>IFERROR(__xludf.DUMMYFUNCTION("""COMPUTED_VALUE"""),1.27889)</f>
        <v>1.27889</v>
      </c>
      <c r="V59" s="52">
        <f>IFERROR(__xludf.DUMMYFUNCTION("""COMPUTED_VALUE"""),3.70205)</f>
        <v>3.70205</v>
      </c>
      <c r="W59" s="52">
        <f>IFERROR(__xludf.DUMMYFUNCTION("""COMPUTED_VALUE"""),0.774065)</f>
        <v>0.774065</v>
      </c>
    </row>
    <row r="60" ht="12.5" spans="6:23">
      <c r="F60" s="3"/>
      <c r="G60" s="3"/>
      <c r="H60" s="3"/>
      <c r="I60" s="3"/>
      <c r="J60" s="3"/>
      <c r="Q60" s="52" t="str">
        <f>IFERROR(__xludf.DUMMYFUNCTION("""COMPUTED_VALUE"""),"Power strip")</f>
        <v>Power strip</v>
      </c>
      <c r="R60" s="52">
        <f>IFERROR(__xludf.DUMMYFUNCTION("""COMPUTED_VALUE"""),0.5396976)</f>
        <v>0.5396976</v>
      </c>
      <c r="S60" s="52">
        <f>IFERROR(__xludf.DUMMYFUNCTION("""COMPUTED_VALUE"""),0.54451872)</f>
        <v>0.54451872</v>
      </c>
      <c r="T60" s="52">
        <f>IFERROR(__xludf.DUMMYFUNCTION("""COMPUTED_VALUE"""),0.68138496)</f>
        <v>0.68138496</v>
      </c>
      <c r="U60" s="52">
        <f>IFERROR(__xludf.DUMMYFUNCTION("""COMPUTED_VALUE"""),0.53942976)</f>
        <v>0.53942976</v>
      </c>
      <c r="V60" s="52">
        <f>IFERROR(__xludf.DUMMYFUNCTION("""COMPUTED_VALUE"""),1.5615072)</f>
        <v>1.5615072</v>
      </c>
      <c r="W60" s="52">
        <f>IFERROR(__xludf.DUMMYFUNCTION("""COMPUTED_VALUE"""),0.32649696)</f>
        <v>0.32649696</v>
      </c>
    </row>
    <row r="61" ht="12.5" spans="6:23">
      <c r="F61" s="3"/>
      <c r="G61" s="3"/>
      <c r="H61" s="3"/>
      <c r="I61" s="3"/>
      <c r="J61" s="3"/>
      <c r="Q61" s="52" t="str">
        <f>IFERROR(__xludf.DUMMYFUNCTION("""COMPUTED_VALUE"""),"Hair Dryer")</f>
        <v>Hair Dryer</v>
      </c>
      <c r="R61" s="52">
        <f>IFERROR(__xludf.DUMMYFUNCTION("""COMPUTED_VALUE"""),1.46398145833333)</f>
        <v>1.46398145833333</v>
      </c>
      <c r="S61" s="52">
        <f>IFERROR(__xludf.DUMMYFUNCTION("""COMPUTED_VALUE"""),1.47705920833333)</f>
        <v>1.47705920833333</v>
      </c>
      <c r="T61" s="52">
        <f>IFERROR(__xludf.DUMMYFUNCTION("""COMPUTED_VALUE"""),1.848322)</f>
        <v>1.848322</v>
      </c>
      <c r="U61" s="52">
        <f>IFERROR(__xludf.DUMMYFUNCTION("""COMPUTED_VALUE"""),1.46325491666666)</f>
        <v>1.46325491666666</v>
      </c>
      <c r="V61" s="52">
        <f>IFERROR(__xludf.DUMMYFUNCTION("""COMPUTED_VALUE"""),4.23573791666666)</f>
        <v>4.23573791666666</v>
      </c>
      <c r="W61" s="52">
        <f>IFERROR(__xludf.DUMMYFUNCTION("""COMPUTED_VALUE"""),0.885654291666666)</f>
        <v>0.885654291666666</v>
      </c>
    </row>
    <row r="62" ht="12.5" spans="6:23">
      <c r="F62" s="3"/>
      <c r="G62" s="3"/>
      <c r="H62" s="3"/>
      <c r="I62" s="3"/>
      <c r="J62" s="3"/>
      <c r="Q62" s="52" t="str">
        <f>IFERROR(__xludf.DUMMYFUNCTION("""COMPUTED_VALUE"""),"Hair Clipper")</f>
        <v>Hair Clipper</v>
      </c>
      <c r="R62" s="52">
        <f>IFERROR(__xludf.DUMMYFUNCTION("""COMPUTED_VALUE"""),0.2404701)</f>
        <v>0.2404701</v>
      </c>
      <c r="S62" s="52">
        <f>IFERROR(__xludf.DUMMYFUNCTION("""COMPUTED_VALUE"""),0.24261822)</f>
        <v>0.24261822</v>
      </c>
      <c r="T62" s="52">
        <f>IFERROR(__xludf.DUMMYFUNCTION("""COMPUTED_VALUE"""),0.30360096)</f>
        <v>0.30360096</v>
      </c>
      <c r="U62" s="52">
        <f>IFERROR(__xludf.DUMMYFUNCTION("""COMPUTED_VALUE"""),0.24035076)</f>
        <v>0.24035076</v>
      </c>
      <c r="V62" s="52">
        <f>IFERROR(__xludf.DUMMYFUNCTION("""COMPUTED_VALUE"""),0.6957522)</f>
        <v>0.6957522</v>
      </c>
      <c r="W62" s="52">
        <f>IFERROR(__xludf.DUMMYFUNCTION("""COMPUTED_VALUE"""),0.14547546)</f>
        <v>0.14547546</v>
      </c>
    </row>
    <row r="63" ht="12.5" spans="6:23">
      <c r="F63" s="3"/>
      <c r="G63" s="3"/>
      <c r="H63" s="3"/>
      <c r="I63" s="3"/>
      <c r="J63" s="3"/>
      <c r="Q63" s="52" t="str">
        <f>IFERROR(__xludf.DUMMYFUNCTION("""COMPUTED_VALUE"""),"Kettle")</f>
        <v>Kettle</v>
      </c>
      <c r="R63" s="52">
        <f>IFERROR(__xludf.DUMMYFUNCTION("""COMPUTED_VALUE"""),3.03687366666666)</f>
        <v>3.03687366666666</v>
      </c>
      <c r="S63" s="52">
        <f>IFERROR(__xludf.DUMMYFUNCTION("""COMPUTED_VALUE"""),3.06400206666666)</f>
        <v>3.06400206666666</v>
      </c>
      <c r="T63" s="52">
        <f>IFERROR(__xludf.DUMMYFUNCTION("""COMPUTED_VALUE"""),3.8341472)</f>
        <v>3.8341472</v>
      </c>
      <c r="U63" s="52">
        <f>IFERROR(__xludf.DUMMYFUNCTION("""COMPUTED_VALUE"""),3.03536653333333)</f>
        <v>3.03536653333333</v>
      </c>
      <c r="V63" s="52">
        <f>IFERROR(__xludf.DUMMYFUNCTION("""COMPUTED_VALUE"""),8.78658733333333)</f>
        <v>8.78658733333333</v>
      </c>
      <c r="W63" s="52">
        <f>IFERROR(__xludf.DUMMYFUNCTION("""COMPUTED_VALUE"""),1.83719553333333)</f>
        <v>1.83719553333333</v>
      </c>
    </row>
    <row r="64" ht="12.5" spans="6:23">
      <c r="F64" s="3"/>
      <c r="G64" s="3"/>
      <c r="H64" s="3"/>
      <c r="I64" s="3"/>
      <c r="J64" s="3"/>
      <c r="Q64" s="52" t="str">
        <f>IFERROR(__xludf.DUMMYFUNCTION("""COMPUTED_VALUE"""),"Iron ")</f>
        <v>Iron </v>
      </c>
      <c r="R64" s="52">
        <f>IFERROR(__xludf.DUMMYFUNCTION("""COMPUTED_VALUE"""),3.03687366666666)</f>
        <v>3.03687366666666</v>
      </c>
      <c r="S64" s="52">
        <f>IFERROR(__xludf.DUMMYFUNCTION("""COMPUTED_VALUE"""),3.06400206666666)</f>
        <v>3.06400206666666</v>
      </c>
      <c r="T64" s="52">
        <f>IFERROR(__xludf.DUMMYFUNCTION("""COMPUTED_VALUE"""),3.8341472)</f>
        <v>3.8341472</v>
      </c>
      <c r="U64" s="52">
        <f>IFERROR(__xludf.DUMMYFUNCTION("""COMPUTED_VALUE"""),3.03536653333333)</f>
        <v>3.03536653333333</v>
      </c>
      <c r="V64" s="52">
        <f>IFERROR(__xludf.DUMMYFUNCTION("""COMPUTED_VALUE"""),8.78658733333333)</f>
        <v>8.78658733333333</v>
      </c>
      <c r="W64" s="52">
        <f>IFERROR(__xludf.DUMMYFUNCTION("""COMPUTED_VALUE"""),1.83719553333333)</f>
        <v>1.83719553333333</v>
      </c>
    </row>
    <row r="65" ht="12.5" spans="6:10">
      <c r="F65" s="3"/>
      <c r="G65" s="3"/>
      <c r="H65" s="3"/>
      <c r="I65" s="3"/>
      <c r="J65" s="3"/>
    </row>
    <row r="66" ht="12.5" spans="6:10">
      <c r="F66" s="3"/>
      <c r="G66" s="3"/>
      <c r="H66" s="3"/>
      <c r="I66" s="3"/>
      <c r="J66" s="3"/>
    </row>
    <row r="67" ht="12.5" spans="6:10">
      <c r="F67" s="3"/>
      <c r="G67" s="3"/>
      <c r="H67" s="3"/>
      <c r="I67" s="3"/>
      <c r="J67" s="3"/>
    </row>
    <row r="68" ht="12.5" spans="6:10">
      <c r="F68" s="3"/>
      <c r="G68" s="3"/>
      <c r="H68" s="3"/>
      <c r="I68" s="3"/>
      <c r="J68" s="3"/>
    </row>
    <row r="69" ht="12.5" spans="6:10">
      <c r="F69" s="3"/>
      <c r="G69" s="3"/>
      <c r="H69" s="3"/>
      <c r="I69" s="3"/>
      <c r="J69" s="3"/>
    </row>
    <row r="70" ht="12.5" spans="6:10">
      <c r="F70" s="3"/>
      <c r="G70" s="3"/>
      <c r="H70" s="3"/>
      <c r="I70" s="3"/>
      <c r="J70" s="3"/>
    </row>
    <row r="71" ht="12.5" spans="6:10">
      <c r="F71" s="3"/>
      <c r="G71" s="3"/>
      <c r="H71" s="3"/>
      <c r="I71" s="3"/>
      <c r="J71" s="3"/>
    </row>
    <row r="72" ht="12.5" spans="6:10">
      <c r="F72" s="3"/>
      <c r="G72" s="3"/>
      <c r="H72" s="3"/>
      <c r="I72" s="3"/>
      <c r="J72" s="3"/>
    </row>
    <row r="73" ht="12.5" spans="6:10">
      <c r="F73" s="3"/>
      <c r="G73" s="3"/>
      <c r="H73" s="3"/>
      <c r="I73" s="3"/>
      <c r="J73" s="3"/>
    </row>
    <row r="74" ht="12.5" spans="6:10">
      <c r="F74" s="3"/>
      <c r="G74" s="3"/>
      <c r="H74" s="3"/>
      <c r="I74" s="3"/>
      <c r="J74" s="3"/>
    </row>
    <row r="75" ht="12.5" spans="6:20">
      <c r="F75" s="3"/>
      <c r="G75" s="3"/>
      <c r="H75" s="3"/>
      <c r="I75" s="3"/>
      <c r="J75" s="3"/>
      <c r="Q75" s="52" t="str">
        <f>IFERROR(__xludf.DUMMYFUNCTION("importrange(""https://docs.google.com/spreadsheets/d/1z7jycMnrpjJCCQulnYGqilwkOCyHzRQQkSYj0wLoXIE/edit#gid=469319901"",""purchase cost!a1:d44"")"),"Category")</f>
        <v>Category</v>
      </c>
      <c r="R75" s="52" t="str">
        <f>IFERROR(__xludf.DUMMYFUNCTION("""COMPUTED_VALUE"""),"Basic assortment")</f>
        <v>Basic assortment</v>
      </c>
      <c r="S75" s="52" t="str">
        <f>IFERROR(__xludf.DUMMYFUNCTION("""COMPUTED_VALUE"""),"Purchase cost in RMB")</f>
        <v>Purchase cost in RMB</v>
      </c>
      <c r="T75" s="52" t="str">
        <f>IFERROR(__xludf.DUMMYFUNCTION("""COMPUTED_VALUE"""),"Purchase cost in USD")</f>
        <v>Purchase cost in USD</v>
      </c>
    </row>
    <row r="76" ht="12.5" spans="6:20">
      <c r="F76" s="3"/>
      <c r="G76" s="3"/>
      <c r="H76" s="3"/>
      <c r="I76" s="3"/>
      <c r="J76" s="3"/>
      <c r="Q76" s="52" t="str">
        <f>IFERROR(__xludf.DUMMYFUNCTION("""COMPUTED_VALUE"""),"Fashion / Fashion accessories")</f>
        <v>Fashion / Fashion accessories</v>
      </c>
      <c r="R76" s="52" t="str">
        <f>IFERROR(__xludf.DUMMYFUNCTION("""COMPUTED_VALUE"""),"T-shirt")</f>
        <v>T-shirt</v>
      </c>
      <c r="S76" s="52">
        <f>IFERROR(__xludf.DUMMYFUNCTION("""COMPUTED_VALUE"""),5.8)</f>
        <v>5.8</v>
      </c>
      <c r="T76" s="52">
        <f>IFERROR(__xludf.DUMMYFUNCTION("""COMPUTED_VALUE"""),0.812)</f>
        <v>0.812</v>
      </c>
    </row>
    <row r="77" ht="12.5" spans="6:20">
      <c r="F77" s="3"/>
      <c r="G77" s="3"/>
      <c r="H77" s="3"/>
      <c r="I77" s="3"/>
      <c r="J77" s="3"/>
      <c r="Q77" s="52" t="str">
        <f>IFERROR(__xludf.DUMMYFUNCTION("""COMPUTED_VALUE"""),"Fashion / Fashion accessories")</f>
        <v>Fashion / Fashion accessories</v>
      </c>
      <c r="R77" s="52" t="str">
        <f>IFERROR(__xludf.DUMMYFUNCTION("""COMPUTED_VALUE"""),"shirt ")</f>
        <v>shirt </v>
      </c>
      <c r="S77" s="52">
        <f>IFERROR(__xludf.DUMMYFUNCTION("""COMPUTED_VALUE"""),13.9)</f>
        <v>13.9</v>
      </c>
      <c r="T77" s="52">
        <f>IFERROR(__xludf.DUMMYFUNCTION("""COMPUTED_VALUE"""),1.946)</f>
        <v>1.946</v>
      </c>
    </row>
    <row r="78" ht="12.5" spans="6:20">
      <c r="F78" s="3"/>
      <c r="G78" s="3"/>
      <c r="H78" s="3"/>
      <c r="I78" s="3"/>
      <c r="J78" s="3"/>
      <c r="Q78" s="52" t="str">
        <f>IFERROR(__xludf.DUMMYFUNCTION("""COMPUTED_VALUE"""),"Fashion / Fashion accessories")</f>
        <v>Fashion / Fashion accessories</v>
      </c>
      <c r="R78" s="52" t="str">
        <f>IFERROR(__xludf.DUMMYFUNCTION("""COMPUTED_VALUE"""),"trousers")</f>
        <v>trousers</v>
      </c>
      <c r="S78" s="52">
        <f>IFERROR(__xludf.DUMMYFUNCTION("""COMPUTED_VALUE"""),14)</f>
        <v>14</v>
      </c>
      <c r="T78" s="52">
        <f>IFERROR(__xludf.DUMMYFUNCTION("""COMPUTED_VALUE"""),1.96)</f>
        <v>1.96</v>
      </c>
    </row>
    <row r="79" ht="12.5" spans="6:20">
      <c r="F79" s="3"/>
      <c r="G79" s="3"/>
      <c r="H79" s="3"/>
      <c r="I79" s="3"/>
      <c r="J79" s="3"/>
      <c r="Q79" s="52" t="str">
        <f>IFERROR(__xludf.DUMMYFUNCTION("""COMPUTED_VALUE"""),"Fashion / Fashion accessories")</f>
        <v>Fashion / Fashion accessories</v>
      </c>
      <c r="R79" s="52" t="str">
        <f>IFERROR(__xludf.DUMMYFUNCTION("""COMPUTED_VALUE"""),"Underwear pack of 4")</f>
        <v>Underwear pack of 4</v>
      </c>
      <c r="S79" s="52">
        <f>IFERROR(__xludf.DUMMYFUNCTION("""COMPUTED_VALUE"""),18)</f>
        <v>18</v>
      </c>
      <c r="T79" s="52">
        <f>IFERROR(__xludf.DUMMYFUNCTION("""COMPUTED_VALUE"""),2.52)</f>
        <v>2.52</v>
      </c>
    </row>
    <row r="80" ht="12.5" spans="6:20">
      <c r="F80" s="3"/>
      <c r="G80" s="3"/>
      <c r="H80" s="3"/>
      <c r="I80" s="3"/>
      <c r="J80" s="3"/>
      <c r="Q80" s="52" t="str">
        <f>IFERROR(__xludf.DUMMYFUNCTION("""COMPUTED_VALUE"""),"Fashion / Fashion accessories")</f>
        <v>Fashion / Fashion accessories</v>
      </c>
      <c r="R80" s="52" t="str">
        <f>IFERROR(__xludf.DUMMYFUNCTION("""COMPUTED_VALUE"""),"Socks pack of six")</f>
        <v>Socks pack of six</v>
      </c>
      <c r="S80" s="52">
        <f>IFERROR(__xludf.DUMMYFUNCTION("""COMPUTED_VALUE"""),6)</f>
        <v>6</v>
      </c>
      <c r="T80" s="52">
        <f>IFERROR(__xludf.DUMMYFUNCTION("""COMPUTED_VALUE"""),0.375)</f>
        <v>0.375</v>
      </c>
    </row>
    <row r="81" ht="12.5" spans="6:20">
      <c r="F81" s="3"/>
      <c r="G81" s="3"/>
      <c r="H81" s="3"/>
      <c r="I81" s="3"/>
      <c r="J81" s="3"/>
      <c r="Q81" s="52" t="str">
        <f>IFERROR(__xludf.DUMMYFUNCTION("""COMPUTED_VALUE"""),"Fashion / Fashion accessories")</f>
        <v>Fashion / Fashion accessories</v>
      </c>
      <c r="R81" s="52" t="str">
        <f>IFERROR(__xludf.DUMMYFUNCTION("""COMPUTED_VALUE"""),"Hoodie/ Jacket")</f>
        <v>Hoodie/ Jacket</v>
      </c>
      <c r="S81" s="52">
        <f>IFERROR(__xludf.DUMMYFUNCTION("""COMPUTED_VALUE"""),21)</f>
        <v>21</v>
      </c>
      <c r="T81" s="52">
        <f>IFERROR(__xludf.DUMMYFUNCTION("""COMPUTED_VALUE"""),2.94)</f>
        <v>2.94</v>
      </c>
    </row>
    <row r="82" ht="12.5" spans="6:20">
      <c r="F82" s="3"/>
      <c r="G82" s="3"/>
      <c r="H82" s="3"/>
      <c r="I82" s="3"/>
      <c r="J82" s="3"/>
      <c r="Q82" s="52" t="str">
        <f>IFERROR(__xludf.DUMMYFUNCTION("""COMPUTED_VALUE"""),"Fashion / Fashion accessories")</f>
        <v>Fashion / Fashion accessories</v>
      </c>
      <c r="R82" s="52" t="str">
        <f>IFERROR(__xludf.DUMMYFUNCTION("""COMPUTED_VALUE"""),"Set of black short &amp; shirt for men")</f>
        <v>Set of black short &amp; shirt for men</v>
      </c>
      <c r="S82" s="52">
        <f>IFERROR(__xludf.DUMMYFUNCTION("""COMPUTED_VALUE"""),13)</f>
        <v>13</v>
      </c>
      <c r="T82" s="52">
        <f>IFERROR(__xludf.DUMMYFUNCTION("""COMPUTED_VALUE"""),1.82)</f>
        <v>1.82</v>
      </c>
    </row>
    <row r="83" ht="12.5" spans="6:20">
      <c r="F83" s="3"/>
      <c r="G83" s="3"/>
      <c r="H83" s="3"/>
      <c r="I83" s="3"/>
      <c r="J83" s="3"/>
      <c r="Q83" s="52" t="str">
        <f>IFERROR(__xludf.DUMMYFUNCTION("""COMPUTED_VALUE"""),"Fashion / Fashion accessories")</f>
        <v>Fashion / Fashion accessories</v>
      </c>
      <c r="R83" s="52" t="str">
        <f>IFERROR(__xludf.DUMMYFUNCTION("""COMPUTED_VALUE"""),"Women underwear  pack of 4")</f>
        <v>Women underwear  pack of 4</v>
      </c>
      <c r="S83" s="52">
        <f>IFERROR(__xludf.DUMMYFUNCTION("""COMPUTED_VALUE"""),10.4)</f>
        <v>10.4</v>
      </c>
      <c r="T83" s="52">
        <f>IFERROR(__xludf.DUMMYFUNCTION("""COMPUTED_VALUE"""),1.456)</f>
        <v>1.456</v>
      </c>
    </row>
    <row r="84" ht="12.5" spans="6:20">
      <c r="F84" s="3"/>
      <c r="G84" s="3"/>
      <c r="H84" s="3"/>
      <c r="I84" s="3"/>
      <c r="J84" s="3"/>
      <c r="Q84" s="52" t="str">
        <f>IFERROR(__xludf.DUMMYFUNCTION("""COMPUTED_VALUE"""),"Fashion / Fashion accessories")</f>
        <v>Fashion / Fashion accessories</v>
      </c>
      <c r="R84" s="52" t="str">
        <f>IFERROR(__xludf.DUMMYFUNCTION("""COMPUTED_VALUE"""),"bra pack of two")</f>
        <v>bra pack of two</v>
      </c>
      <c r="S84" s="52">
        <f>IFERROR(__xludf.DUMMYFUNCTION("""COMPUTED_VALUE"""),67)</f>
        <v>67</v>
      </c>
      <c r="T84" s="52">
        <f>IFERROR(__xludf.DUMMYFUNCTION("""COMPUTED_VALUE"""),9.38)</f>
        <v>9.38</v>
      </c>
    </row>
    <row r="85" ht="12.5" spans="6:20">
      <c r="F85" s="3"/>
      <c r="G85" s="3"/>
      <c r="H85" s="3"/>
      <c r="I85" s="3"/>
      <c r="J85" s="3"/>
      <c r="Q85" s="52" t="str">
        <f>IFERROR(__xludf.DUMMYFUNCTION("""COMPUTED_VALUE"""),"Fashion / Fashion accessories")</f>
        <v>Fashion / Fashion accessories</v>
      </c>
      <c r="R85" s="52" t="str">
        <f>IFERROR(__xludf.DUMMYFUNCTION("""COMPUTED_VALUE"""),"Women dress")</f>
        <v>Women dress</v>
      </c>
      <c r="S85" s="52">
        <f>IFERROR(__xludf.DUMMYFUNCTION("""COMPUTED_VALUE"""),35)</f>
        <v>35</v>
      </c>
      <c r="T85" s="52">
        <f>IFERROR(__xludf.DUMMYFUNCTION("""COMPUTED_VALUE"""),4.9)</f>
        <v>4.9</v>
      </c>
    </row>
    <row r="86" ht="12.5" spans="6:20">
      <c r="F86" s="3"/>
      <c r="G86" s="3"/>
      <c r="H86" s="3"/>
      <c r="I86" s="3"/>
      <c r="J86" s="3"/>
      <c r="Q86" s="52" t="str">
        <f>IFERROR(__xludf.DUMMYFUNCTION("""COMPUTED_VALUE"""),"Fashion / Fashion accessories")</f>
        <v>Fashion / Fashion accessories</v>
      </c>
      <c r="R86" s="52" t="str">
        <f>IFERROR(__xludf.DUMMYFUNCTION("""COMPUTED_VALUE"""),"Set of earings pck of 12")</f>
        <v>Set of earings pck of 12</v>
      </c>
      <c r="S86" s="52">
        <f>IFERROR(__xludf.DUMMYFUNCTION("""COMPUTED_VALUE"""),2.25)</f>
        <v>2.25</v>
      </c>
      <c r="T86" s="52">
        <f>IFERROR(__xludf.DUMMYFUNCTION("""COMPUTED_VALUE"""),0.315)</f>
        <v>0.315</v>
      </c>
    </row>
    <row r="87" ht="12.5" spans="6:20">
      <c r="F87" s="3"/>
      <c r="G87" s="3"/>
      <c r="H87" s="3"/>
      <c r="I87" s="3"/>
      <c r="J87" s="3"/>
      <c r="Q87" s="52" t="str">
        <f>IFERROR(__xludf.DUMMYFUNCTION("""COMPUTED_VALUE"""),"Fashion / Fashion accessories")</f>
        <v>Fashion / Fashion accessories</v>
      </c>
      <c r="R87" s="52" t="str">
        <f>IFERROR(__xludf.DUMMYFUNCTION("""COMPUTED_VALUE"""),"Couple necklace pck of 2")</f>
        <v>Couple necklace pck of 2</v>
      </c>
      <c r="S87" s="52">
        <f>IFERROR(__xludf.DUMMYFUNCTION("""COMPUTED_VALUE"""),2.8)</f>
        <v>2.8</v>
      </c>
      <c r="T87" s="52">
        <f>IFERROR(__xludf.DUMMYFUNCTION("""COMPUTED_VALUE"""),0.392)</f>
        <v>0.392</v>
      </c>
    </row>
    <row r="88" ht="12.5" spans="6:20">
      <c r="F88" s="3"/>
      <c r="G88" s="3"/>
      <c r="H88" s="3"/>
      <c r="I88" s="3"/>
      <c r="J88" s="3"/>
      <c r="Q88" s="52" t="str">
        <f>IFERROR(__xludf.DUMMYFUNCTION("""COMPUTED_VALUE"""),"Fashion / Fashion accessories")</f>
        <v>Fashion / Fashion accessories</v>
      </c>
      <c r="R88" s="52" t="str">
        <f>IFERROR(__xludf.DUMMYFUNCTION("""COMPUTED_VALUE"""),"Men Casual shoes")</f>
        <v>Men Casual shoes</v>
      </c>
      <c r="S88" s="52">
        <f>IFERROR(__xludf.DUMMYFUNCTION("""COMPUTED_VALUE"""),25.9)</f>
        <v>25.9</v>
      </c>
      <c r="T88" s="52">
        <f>IFERROR(__xludf.DUMMYFUNCTION("""COMPUTED_VALUE"""),3.626)</f>
        <v>3.626</v>
      </c>
    </row>
    <row r="89" ht="12.5" spans="6:20">
      <c r="F89" s="3"/>
      <c r="G89" s="3"/>
      <c r="H89" s="3"/>
      <c r="I89" s="3"/>
      <c r="J89" s="3"/>
      <c r="Q89" s="52" t="str">
        <f>IFERROR(__xludf.DUMMYFUNCTION("""COMPUTED_VALUE"""),"Fashion / Fashion accessories")</f>
        <v>Fashion / Fashion accessories</v>
      </c>
      <c r="R89" s="52" t="str">
        <f>IFERROR(__xludf.DUMMYFUNCTION("""COMPUTED_VALUE"""),"Men Sports shoes")</f>
        <v>Men Sports shoes</v>
      </c>
      <c r="S89" s="52">
        <f>IFERROR(__xludf.DUMMYFUNCTION("""COMPUTED_VALUE"""),18)</f>
        <v>18</v>
      </c>
      <c r="T89" s="52">
        <f>IFERROR(__xludf.DUMMYFUNCTION("""COMPUTED_VALUE"""),2.52)</f>
        <v>2.52</v>
      </c>
    </row>
    <row r="90" ht="12.5" spans="6:20">
      <c r="F90" s="3"/>
      <c r="G90" s="3"/>
      <c r="H90" s="3"/>
      <c r="I90" s="3"/>
      <c r="J90" s="3"/>
      <c r="Q90" s="52" t="str">
        <f>IFERROR(__xludf.DUMMYFUNCTION("""COMPUTED_VALUE"""),"Fashion / Fashion accessories")</f>
        <v>Fashion / Fashion accessories</v>
      </c>
      <c r="R90" s="52" t="str">
        <f>IFERROR(__xludf.DUMMYFUNCTION("""COMPUTED_VALUE"""),"Men Formal shoes")</f>
        <v>Men Formal shoes</v>
      </c>
      <c r="S90" s="52">
        <f>IFERROR(__xludf.DUMMYFUNCTION("""COMPUTED_VALUE"""),14.9)</f>
        <v>14.9</v>
      </c>
      <c r="T90" s="52">
        <f>IFERROR(__xludf.DUMMYFUNCTION("""COMPUTED_VALUE"""),2.086)</f>
        <v>2.086</v>
      </c>
    </row>
    <row r="91" ht="12.5" spans="6:20">
      <c r="F91" s="3"/>
      <c r="G91" s="3"/>
      <c r="H91" s="3"/>
      <c r="I91" s="3"/>
      <c r="J91" s="3"/>
      <c r="Q91" s="52" t="str">
        <f>IFERROR(__xludf.DUMMYFUNCTION("""COMPUTED_VALUE"""),"Fashion / Fashion accessories")</f>
        <v>Fashion / Fashion accessories</v>
      </c>
      <c r="R91" s="52" t="str">
        <f>IFERROR(__xludf.DUMMYFUNCTION("""COMPUTED_VALUE"""),"belt")</f>
        <v>belt</v>
      </c>
      <c r="S91" s="52">
        <f>IFERROR(__xludf.DUMMYFUNCTION("""COMPUTED_VALUE"""),4)</f>
        <v>4</v>
      </c>
      <c r="T91" s="52">
        <f>IFERROR(__xludf.DUMMYFUNCTION("""COMPUTED_VALUE"""),0.56)</f>
        <v>0.56</v>
      </c>
    </row>
    <row r="92" ht="12.5" spans="6:20">
      <c r="F92" s="3"/>
      <c r="G92" s="3"/>
      <c r="H92" s="3"/>
      <c r="I92" s="3"/>
      <c r="J92" s="3"/>
      <c r="Q92" s="52" t="str">
        <f>IFERROR(__xludf.DUMMYFUNCTION("""COMPUTED_VALUE"""),"Fashion / Fashion accessories")</f>
        <v>Fashion / Fashion accessories</v>
      </c>
      <c r="R92" s="52" t="str">
        <f>IFERROR(__xludf.DUMMYFUNCTION("""COMPUTED_VALUE"""),"Sunglasses")</f>
        <v>Sunglasses</v>
      </c>
      <c r="S92" s="52">
        <f>IFERROR(__xludf.DUMMYFUNCTION("""COMPUTED_VALUE"""),2)</f>
        <v>2</v>
      </c>
      <c r="T92" s="52">
        <f>IFERROR(__xludf.DUMMYFUNCTION("""COMPUTED_VALUE"""),0.28)</f>
        <v>0.28</v>
      </c>
    </row>
    <row r="93" ht="12.5" spans="6:20">
      <c r="F93" s="3"/>
      <c r="G93" s="3"/>
      <c r="H93" s="3"/>
      <c r="I93" s="3"/>
      <c r="J93" s="3"/>
      <c r="Q93" s="52" t="str">
        <f>IFERROR(__xludf.DUMMYFUNCTION("""COMPUTED_VALUE"""),"Fashion / Fashion accessories")</f>
        <v>Fashion / Fashion accessories</v>
      </c>
      <c r="R93" s="52" t="str">
        <f>IFERROR(__xludf.DUMMYFUNCTION("""COMPUTED_VALUE"""),"watch")</f>
        <v>watch</v>
      </c>
      <c r="S93" s="52">
        <f>IFERROR(__xludf.DUMMYFUNCTION("""COMPUTED_VALUE"""),10)</f>
        <v>10</v>
      </c>
      <c r="T93" s="52">
        <f>IFERROR(__xludf.DUMMYFUNCTION("""COMPUTED_VALUE"""),1.4)</f>
        <v>1.4</v>
      </c>
    </row>
    <row r="94" ht="12.5" spans="6:20">
      <c r="F94" s="3"/>
      <c r="G94" s="3"/>
      <c r="H94" s="3"/>
      <c r="I94" s="3"/>
      <c r="J94" s="3"/>
      <c r="Q94" s="52" t="str">
        <f>IFERROR(__xludf.DUMMYFUNCTION("""COMPUTED_VALUE"""),"Fashion / Fashion accessories")</f>
        <v>Fashion / Fashion accessories</v>
      </c>
      <c r="R94" s="52" t="str">
        <f>IFERROR(__xludf.DUMMYFUNCTION("""COMPUTED_VALUE"""),"Bag- laptop bag")</f>
        <v>Bag- laptop bag</v>
      </c>
      <c r="S94" s="52">
        <f>IFERROR(__xludf.DUMMYFUNCTION("""COMPUTED_VALUE"""),9)</f>
        <v>9</v>
      </c>
      <c r="T94" s="52">
        <f>IFERROR(__xludf.DUMMYFUNCTION("""COMPUTED_VALUE"""),1.26)</f>
        <v>1.26</v>
      </c>
    </row>
    <row r="95" ht="12.5" spans="6:20">
      <c r="F95" s="3"/>
      <c r="G95" s="3"/>
      <c r="H95" s="3"/>
      <c r="I95" s="3"/>
      <c r="J95" s="3"/>
      <c r="Q95" s="52" t="str">
        <f>IFERROR(__xludf.DUMMYFUNCTION("""COMPUTED_VALUE"""),"Fashion / Fashion accessories")</f>
        <v>Fashion / Fashion accessories</v>
      </c>
      <c r="R95" s="52" t="str">
        <f>IFERROR(__xludf.DUMMYFUNCTION("""COMPUTED_VALUE"""),"Bag- lady's carring bag")</f>
        <v>Bag- lady's carring bag</v>
      </c>
      <c r="S95" s="52">
        <f>IFERROR(__xludf.DUMMYFUNCTION("""COMPUTED_VALUE"""),21)</f>
        <v>21</v>
      </c>
      <c r="T95" s="52">
        <f>IFERROR(__xludf.DUMMYFUNCTION("""COMPUTED_VALUE"""),2.94)</f>
        <v>2.94</v>
      </c>
    </row>
    <row r="96" ht="12.5" spans="6:20">
      <c r="F96" s="3"/>
      <c r="G96" s="3"/>
      <c r="H96" s="3"/>
      <c r="I96" s="3"/>
      <c r="J96" s="3"/>
      <c r="Q96" s="52" t="str">
        <f>IFERROR(__xludf.DUMMYFUNCTION("""COMPUTED_VALUE"""),"Fashion / Fashion accessories")</f>
        <v>Fashion / Fashion accessories</v>
      </c>
      <c r="R96" s="52" t="str">
        <f>IFERROR(__xludf.DUMMYFUNCTION("""COMPUTED_VALUE"""),"Bag- 4in1")</f>
        <v>Bag- 4in1</v>
      </c>
      <c r="S96" s="52">
        <f>IFERROR(__xludf.DUMMYFUNCTION("""COMPUTED_VALUE"""),19)</f>
        <v>19</v>
      </c>
      <c r="T96" s="52">
        <f>IFERROR(__xludf.DUMMYFUNCTION("""COMPUTED_VALUE"""),2.66)</f>
        <v>2.66</v>
      </c>
    </row>
    <row r="97" ht="12.5" spans="6:20">
      <c r="F97" s="3"/>
      <c r="G97" s="3"/>
      <c r="H97" s="3"/>
      <c r="I97" s="3"/>
      <c r="J97" s="3"/>
      <c r="Q97" s="52" t="str">
        <f>IFERROR(__xludf.DUMMYFUNCTION("""COMPUTED_VALUE"""),"Fashion / Fashion accessories")</f>
        <v>Fashion / Fashion accessories</v>
      </c>
      <c r="R97" s="52" t="str">
        <f>IFERROR(__xludf.DUMMYFUNCTION("""COMPUTED_VALUE"""),"Slippers")</f>
        <v>Slippers</v>
      </c>
      <c r="S97" s="52">
        <f>IFERROR(__xludf.DUMMYFUNCTION("""COMPUTED_VALUE"""),10)</f>
        <v>10</v>
      </c>
      <c r="T97" s="52">
        <f>IFERROR(__xludf.DUMMYFUNCTION("""COMPUTED_VALUE"""),1.4)</f>
        <v>1.4</v>
      </c>
    </row>
    <row r="98" ht="12.5" spans="6:20">
      <c r="F98" s="3"/>
      <c r="G98" s="3"/>
      <c r="H98" s="3"/>
      <c r="I98" s="3"/>
      <c r="J98" s="3"/>
      <c r="Q98" s="52" t="str">
        <f>IFERROR(__xludf.DUMMYFUNCTION("""COMPUTED_VALUE"""),"Mobile accessories / Computing")</f>
        <v>Mobile accessories / Computing</v>
      </c>
      <c r="R98" s="52" t="str">
        <f>IFERROR(__xludf.DUMMYFUNCTION("""COMPUTED_VALUE"""),"20K MAh powerbank")</f>
        <v>20K MAh powerbank</v>
      </c>
      <c r="S98" s="52">
        <f>IFERROR(__xludf.DUMMYFUNCTION("""COMPUTED_VALUE"""),37)</f>
        <v>37</v>
      </c>
      <c r="T98" s="52">
        <f>IFERROR(__xludf.DUMMYFUNCTION("""COMPUTED_VALUE"""),5.18)</f>
        <v>5.18</v>
      </c>
    </row>
    <row r="99" ht="12.5" spans="6:20">
      <c r="F99" s="3"/>
      <c r="G99" s="3"/>
      <c r="H99" s="3"/>
      <c r="I99" s="3"/>
      <c r="J99" s="3"/>
      <c r="Q99" s="52" t="str">
        <f>IFERROR(__xludf.DUMMYFUNCTION("""COMPUTED_VALUE"""),"Mobile accessories / Computing")</f>
        <v>Mobile accessories / Computing</v>
      </c>
      <c r="R99" s="52" t="str">
        <f>IFERROR(__xludf.DUMMYFUNCTION("""COMPUTED_VALUE"""),"10K MAh powerbank")</f>
        <v>10K MAh powerbank</v>
      </c>
      <c r="S99" s="52">
        <f>IFERROR(__xludf.DUMMYFUNCTION("""COMPUTED_VALUE"""),19)</f>
        <v>19</v>
      </c>
      <c r="T99" s="52">
        <f>IFERROR(__xludf.DUMMYFUNCTION("""COMPUTED_VALUE"""),2.66)</f>
        <v>2.66</v>
      </c>
    </row>
    <row r="100" ht="12.5" spans="6:20">
      <c r="F100" s="3"/>
      <c r="G100" s="3"/>
      <c r="H100" s="3"/>
      <c r="I100" s="3"/>
      <c r="J100" s="3"/>
      <c r="Q100" s="52" t="str">
        <f>IFERROR(__xludf.DUMMYFUNCTION("""COMPUTED_VALUE"""),"Mobile accessories / Computing")</f>
        <v>Mobile accessories / Computing</v>
      </c>
      <c r="R100" s="52" t="str">
        <f>IFERROR(__xludf.DUMMYFUNCTION("""COMPUTED_VALUE"""),"USB drive 64G")</f>
        <v>USB drive 64G</v>
      </c>
      <c r="S100" s="52">
        <f>IFERROR(__xludf.DUMMYFUNCTION("""COMPUTED_VALUE"""),16)</f>
        <v>16</v>
      </c>
      <c r="T100" s="52">
        <f>IFERROR(__xludf.DUMMYFUNCTION("""COMPUTED_VALUE"""),2.24)</f>
        <v>2.24</v>
      </c>
    </row>
    <row r="101" ht="12.5" spans="6:20">
      <c r="F101" s="3"/>
      <c r="G101" s="3"/>
      <c r="H101" s="3"/>
      <c r="I101" s="3"/>
      <c r="J101" s="3"/>
      <c r="Q101" s="52" t="str">
        <f>IFERROR(__xludf.DUMMYFUNCTION("""COMPUTED_VALUE"""),"Mobile accessories / Computing")</f>
        <v>Mobile accessories / Computing</v>
      </c>
      <c r="R101" s="52" t="str">
        <f>IFERROR(__xludf.DUMMYFUNCTION("""COMPUTED_VALUE"""),"USB drive 128G")</f>
        <v>USB drive 128G</v>
      </c>
      <c r="S101" s="52">
        <f>IFERROR(__xludf.DUMMYFUNCTION("""COMPUTED_VALUE"""),23)</f>
        <v>23</v>
      </c>
      <c r="T101" s="52">
        <f>IFERROR(__xludf.DUMMYFUNCTION("""COMPUTED_VALUE"""),2.3)</f>
        <v>2.3</v>
      </c>
    </row>
    <row r="102" ht="12.5" spans="6:20">
      <c r="F102" s="3"/>
      <c r="G102" s="3"/>
      <c r="H102" s="3"/>
      <c r="I102" s="3"/>
      <c r="J102" s="3"/>
      <c r="Q102" s="52" t="str">
        <f>IFERROR(__xludf.DUMMYFUNCTION("""COMPUTED_VALUE"""),"Mobile accessories / Computing")</f>
        <v>Mobile accessories / Computing</v>
      </c>
      <c r="R102" s="52" t="str">
        <f>IFERROR(__xludf.DUMMYFUNCTION("""COMPUTED_VALUE"""),"Wireless earphones airpod style")</f>
        <v>Wireless earphones airpod style</v>
      </c>
      <c r="S102" s="52">
        <f>IFERROR(__xludf.DUMMYFUNCTION("""COMPUTED_VALUE"""),15)</f>
        <v>15</v>
      </c>
      <c r="T102" s="52">
        <f>IFERROR(__xludf.DUMMYFUNCTION("""COMPUTED_VALUE"""),2.1)</f>
        <v>2.1</v>
      </c>
    </row>
    <row r="103" ht="12.5" spans="6:20">
      <c r="F103" s="3"/>
      <c r="G103" s="3"/>
      <c r="H103" s="3"/>
      <c r="I103" s="3"/>
      <c r="J103" s="3"/>
      <c r="Q103" s="52" t="str">
        <f>IFERROR(__xludf.DUMMYFUNCTION("""COMPUTED_VALUE"""),"Mobile accessories / Computing")</f>
        <v>Mobile accessories / Computing</v>
      </c>
      <c r="R103" s="52" t="str">
        <f>IFERROR(__xludf.DUMMYFUNCTION("""COMPUTED_VALUE"""),"Wireless earphones F9 style")</f>
        <v>Wireless earphones F9 style</v>
      </c>
      <c r="S103" s="52">
        <f>IFERROR(__xludf.DUMMYFUNCTION("""COMPUTED_VALUE"""),12)</f>
        <v>12</v>
      </c>
      <c r="T103" s="52">
        <f>IFERROR(__xludf.DUMMYFUNCTION("""COMPUTED_VALUE"""),1.68)</f>
        <v>1.68</v>
      </c>
    </row>
    <row r="104" ht="12.5" spans="6:20">
      <c r="F104" s="3"/>
      <c r="G104" s="3"/>
      <c r="H104" s="3"/>
      <c r="I104" s="3"/>
      <c r="J104" s="3"/>
      <c r="Q104" s="52" t="str">
        <f>IFERROR(__xludf.DUMMYFUNCTION("""COMPUTED_VALUE"""),"Mobile accessories / Computing")</f>
        <v>Mobile accessories / Computing</v>
      </c>
      <c r="R104" s="52" t="str">
        <f>IFERROR(__xludf.DUMMYFUNCTION("""COMPUTED_VALUE"""),"Wireless speaker")</f>
        <v>Wireless speaker</v>
      </c>
      <c r="S104" s="52">
        <f>IFERROR(__xludf.DUMMYFUNCTION("""COMPUTED_VALUE"""),23)</f>
        <v>23</v>
      </c>
      <c r="T104" s="52">
        <f>IFERROR(__xludf.DUMMYFUNCTION("""COMPUTED_VALUE"""),3.22)</f>
        <v>3.22</v>
      </c>
    </row>
    <row r="105" ht="12.5" spans="6:20">
      <c r="F105" s="3"/>
      <c r="G105" s="3"/>
      <c r="H105" s="3"/>
      <c r="I105" s="3"/>
      <c r="J105" s="3"/>
      <c r="Q105" s="52" t="str">
        <f>IFERROR(__xludf.DUMMYFUNCTION("""COMPUTED_VALUE"""),"Mobile accessories / Computing")</f>
        <v>Mobile accessories / Computing</v>
      </c>
      <c r="R105" s="52" t="str">
        <f>IFERROR(__xludf.DUMMYFUNCTION("""COMPUTED_VALUE"""),"Smartwatch")</f>
        <v>Smartwatch</v>
      </c>
      <c r="S105" s="52">
        <f>IFERROR(__xludf.DUMMYFUNCTION("""COMPUTED_VALUE"""),8)</f>
        <v>8</v>
      </c>
      <c r="T105" s="52">
        <f>IFERROR(__xludf.DUMMYFUNCTION("""COMPUTED_VALUE"""),1.12)</f>
        <v>1.12</v>
      </c>
    </row>
    <row r="106" ht="12.5" spans="6:20">
      <c r="F106" s="3"/>
      <c r="G106" s="3"/>
      <c r="H106" s="3"/>
      <c r="I106" s="3"/>
      <c r="J106" s="3"/>
      <c r="Q106" s="52" t="str">
        <f>IFERROR(__xludf.DUMMYFUNCTION("""COMPUTED_VALUE"""),"Mobile accessories / Computing")</f>
        <v>Mobile accessories / Computing</v>
      </c>
      <c r="R106" s="52" t="str">
        <f>IFERROR(__xludf.DUMMYFUNCTION("""COMPUTED_VALUE"""),"Feature phone")</f>
        <v>Feature phone</v>
      </c>
      <c r="S106" s="52">
        <f>IFERROR(__xludf.DUMMYFUNCTION("""COMPUTED_VALUE"""),25)</f>
        <v>25</v>
      </c>
      <c r="T106" s="52">
        <f>IFERROR(__xludf.DUMMYFUNCTION("""COMPUTED_VALUE"""),3.5)</f>
        <v>3.5</v>
      </c>
    </row>
    <row r="107" ht="12.5" spans="6:20">
      <c r="F107" s="3"/>
      <c r="G107" s="3"/>
      <c r="H107" s="3"/>
      <c r="I107" s="3"/>
      <c r="J107" s="3"/>
      <c r="Q107" s="52" t="str">
        <f>IFERROR(__xludf.DUMMYFUNCTION("""COMPUTED_VALUE"""),"Mobile accessories / Computing")</f>
        <v>Mobile accessories / Computing</v>
      </c>
      <c r="R107" s="52" t="str">
        <f>IFERROR(__xludf.DUMMYFUNCTION("""COMPUTED_VALUE"""),"Laptop mouse")</f>
        <v>Laptop mouse</v>
      </c>
      <c r="S107" s="52">
        <f>IFERROR(__xludf.DUMMYFUNCTION("""COMPUTED_VALUE"""),8)</f>
        <v>8</v>
      </c>
      <c r="T107" s="52">
        <f>IFERROR(__xludf.DUMMYFUNCTION("""COMPUTED_VALUE"""),1.12)</f>
        <v>1.12</v>
      </c>
    </row>
    <row r="108" ht="12.5" spans="6:20">
      <c r="F108" s="3"/>
      <c r="G108" s="3"/>
      <c r="H108" s="3"/>
      <c r="I108" s="3"/>
      <c r="J108" s="3"/>
      <c r="Q108" s="52" t="str">
        <f>IFERROR(__xludf.DUMMYFUNCTION("""COMPUTED_VALUE"""),"Home / small appliance")</f>
        <v>Home / small appliance</v>
      </c>
      <c r="R108" s="52" t="str">
        <f>IFERROR(__xludf.DUMMYFUNCTION("""COMPUTED_VALUE"""),"Basic toolkit")</f>
        <v>Basic toolkit</v>
      </c>
      <c r="S108" s="52">
        <f>IFERROR(__xludf.DUMMYFUNCTION("""COMPUTED_VALUE"""),22.5)</f>
        <v>22.5</v>
      </c>
      <c r="T108" s="52">
        <f>IFERROR(__xludf.DUMMYFUNCTION("""COMPUTED_VALUE"""),3.15)</f>
        <v>3.15</v>
      </c>
    </row>
    <row r="109" ht="12.5" spans="6:20">
      <c r="F109" s="3"/>
      <c r="G109" s="3"/>
      <c r="H109" s="3"/>
      <c r="I109" s="3"/>
      <c r="J109" s="3"/>
      <c r="Q109" s="52" t="str">
        <f>IFERROR(__xludf.DUMMYFUNCTION("""COMPUTED_VALUE"""),"Home / small appliance")</f>
        <v>Home / small appliance</v>
      </c>
      <c r="R109" s="52" t="str">
        <f>IFERROR(__xludf.DUMMYFUNCTION("""COMPUTED_VALUE"""),"Hand towel")</f>
        <v>Hand towel</v>
      </c>
      <c r="S109" s="52">
        <f>IFERROR(__xludf.DUMMYFUNCTION("""COMPUTED_VALUE"""),3.07)</f>
        <v>3.07</v>
      </c>
      <c r="T109" s="52">
        <f>IFERROR(__xludf.DUMMYFUNCTION("""COMPUTED_VALUE"""),0.4298)</f>
        <v>0.4298</v>
      </c>
    </row>
    <row r="110" ht="12.5" spans="6:20">
      <c r="F110" s="3"/>
      <c r="G110" s="3"/>
      <c r="H110" s="3"/>
      <c r="I110" s="3"/>
      <c r="J110" s="3"/>
      <c r="Q110" s="52" t="str">
        <f>IFERROR(__xludf.DUMMYFUNCTION("""COMPUTED_VALUE"""),"Home / small appliance")</f>
        <v>Home / small appliance</v>
      </c>
      <c r="R110" s="52" t="str">
        <f>IFERROR(__xludf.DUMMYFUNCTION("""COMPUTED_VALUE"""),"Shower/Bath towel")</f>
        <v>Shower/Bath towel</v>
      </c>
      <c r="S110" s="52">
        <f>IFERROR(__xludf.DUMMYFUNCTION("""COMPUTED_VALUE"""),6.3)</f>
        <v>6.3</v>
      </c>
      <c r="T110" s="52">
        <f>IFERROR(__xludf.DUMMYFUNCTION("""COMPUTED_VALUE"""),0.882)</f>
        <v>0.882</v>
      </c>
    </row>
    <row r="111" ht="12.5" spans="6:20">
      <c r="F111" s="3"/>
      <c r="G111" s="3"/>
      <c r="H111" s="3"/>
      <c r="I111" s="3"/>
      <c r="J111" s="3"/>
      <c r="Q111" s="52" t="str">
        <f>IFERROR(__xludf.DUMMYFUNCTION("""COMPUTED_VALUE"""),"Home / small appliance")</f>
        <v>Home / small appliance</v>
      </c>
      <c r="R111" s="52" t="str">
        <f>IFERROR(__xludf.DUMMYFUNCTION("""COMPUTED_VALUE"""),"Fan- Small")</f>
        <v>Fan- Small</v>
      </c>
      <c r="S111" s="52">
        <f>IFERROR(__xludf.DUMMYFUNCTION("""COMPUTED_VALUE"""),35)</f>
        <v>35</v>
      </c>
      <c r="T111" s="52">
        <f>IFERROR(__xludf.DUMMYFUNCTION("""COMPUTED_VALUE"""),4.9)</f>
        <v>4.9</v>
      </c>
    </row>
    <row r="112" ht="12.5" spans="6:20">
      <c r="F112" s="3"/>
      <c r="G112" s="3"/>
      <c r="H112" s="3"/>
      <c r="I112" s="3"/>
      <c r="J112" s="3"/>
      <c r="Q112" s="52" t="str">
        <f>IFERROR(__xludf.DUMMYFUNCTION("""COMPUTED_VALUE"""),"Home / small appliance")</f>
        <v>Home / small appliance</v>
      </c>
      <c r="R112" s="52" t="str">
        <f>IFERROR(__xludf.DUMMYFUNCTION("""COMPUTED_VALUE"""),"Power strip")</f>
        <v>Power strip</v>
      </c>
      <c r="S112" s="52">
        <f>IFERROR(__xludf.DUMMYFUNCTION("""COMPUTED_VALUE"""),32)</f>
        <v>32</v>
      </c>
      <c r="T112" s="52">
        <f>IFERROR(__xludf.DUMMYFUNCTION("""COMPUTED_VALUE"""),4.48)</f>
        <v>4.48</v>
      </c>
    </row>
    <row r="113" ht="12.5" spans="6:20">
      <c r="F113" s="3"/>
      <c r="G113" s="3"/>
      <c r="H113" s="3"/>
      <c r="I113" s="3"/>
      <c r="J113" s="3"/>
      <c r="Q113" s="52" t="str">
        <f>IFERROR(__xludf.DUMMYFUNCTION("""COMPUTED_VALUE"""),"Beauty")</f>
        <v>Beauty</v>
      </c>
      <c r="R113" s="52" t="str">
        <f>IFERROR(__xludf.DUMMYFUNCTION("""COMPUTED_VALUE"""),"Hair Dryer")</f>
        <v>Hair Dryer</v>
      </c>
      <c r="S113" s="52">
        <f>IFERROR(__xludf.DUMMYFUNCTION("""COMPUTED_VALUE"""),17.5)</f>
        <v>17.5</v>
      </c>
      <c r="T113" s="52">
        <f>IFERROR(__xludf.DUMMYFUNCTION("""COMPUTED_VALUE"""),2.45)</f>
        <v>2.45</v>
      </c>
    </row>
    <row r="114" ht="12.5" spans="6:20">
      <c r="F114" s="3"/>
      <c r="G114" s="3"/>
      <c r="H114" s="3"/>
      <c r="I114" s="3"/>
      <c r="J114" s="3"/>
      <c r="Q114" s="52" t="str">
        <f>IFERROR(__xludf.DUMMYFUNCTION("""COMPUTED_VALUE"""),"Beauty")</f>
        <v>Beauty</v>
      </c>
      <c r="R114" s="52" t="str">
        <f>IFERROR(__xludf.DUMMYFUNCTION("""COMPUTED_VALUE"""),"Hair Clipper")</f>
        <v>Hair Clipper</v>
      </c>
      <c r="S114" s="52">
        <f>IFERROR(__xludf.DUMMYFUNCTION("""COMPUTED_VALUE"""),15.5)</f>
        <v>15.5</v>
      </c>
      <c r="T114" s="52">
        <f>IFERROR(__xludf.DUMMYFUNCTION("""COMPUTED_VALUE"""),2.17)</f>
        <v>2.17</v>
      </c>
    </row>
    <row r="115" ht="12.5" spans="6:20">
      <c r="F115" s="3"/>
      <c r="G115" s="3"/>
      <c r="H115" s="3"/>
      <c r="I115" s="3"/>
      <c r="J115" s="3"/>
      <c r="Q115" s="52" t="str">
        <f>IFERROR(__xludf.DUMMYFUNCTION("""COMPUTED_VALUE"""),"Home / small appliance")</f>
        <v>Home / small appliance</v>
      </c>
      <c r="R115" s="52" t="str">
        <f>IFERROR(__xludf.DUMMYFUNCTION("""COMPUTED_VALUE"""),"Kettle")</f>
        <v>Kettle</v>
      </c>
      <c r="S115" s="52">
        <f>IFERROR(__xludf.DUMMYFUNCTION("""COMPUTED_VALUE"""),18)</f>
        <v>18</v>
      </c>
      <c r="T115" s="52">
        <f>IFERROR(__xludf.DUMMYFUNCTION("""COMPUTED_VALUE"""),2.52)</f>
        <v>2.52</v>
      </c>
    </row>
    <row r="116" ht="12.5" spans="6:20">
      <c r="F116" s="3"/>
      <c r="G116" s="3"/>
      <c r="H116" s="3"/>
      <c r="I116" s="3"/>
      <c r="J116" s="3"/>
      <c r="Q116" s="52" t="str">
        <f>IFERROR(__xludf.DUMMYFUNCTION("""COMPUTED_VALUE"""),"Home / small appliance")</f>
        <v>Home / small appliance</v>
      </c>
      <c r="R116" s="52" t="str">
        <f>IFERROR(__xludf.DUMMYFUNCTION("""COMPUTED_VALUE"""),"Iron ")</f>
        <v>Iron </v>
      </c>
      <c r="S116" s="52">
        <f>IFERROR(__xludf.DUMMYFUNCTION("""COMPUTED_VALUE"""),27)</f>
        <v>27</v>
      </c>
      <c r="T116" s="52">
        <f>IFERROR(__xludf.DUMMYFUNCTION("""COMPUTED_VALUE"""),3.78)</f>
        <v>3.78</v>
      </c>
    </row>
    <row r="117" ht="12.5" spans="6:20">
      <c r="F117" s="3"/>
      <c r="G117" s="3"/>
      <c r="H117" s="3"/>
      <c r="I117" s="3"/>
      <c r="J117" s="3"/>
      <c r="Q117" s="52" t="str">
        <f>IFERROR(__xludf.DUMMYFUNCTION("""COMPUTED_VALUE"""),"Home / small appliance")</f>
        <v>Home / small appliance</v>
      </c>
      <c r="R117" s="52" t="str">
        <f>IFERROR(__xludf.DUMMYFUNCTION("""COMPUTED_VALUE"""),"Spatulas ( a set of five)")</f>
        <v>Spatulas ( a set of five)</v>
      </c>
      <c r="S117" s="52">
        <f>IFERROR(__xludf.DUMMYFUNCTION("""COMPUTED_VALUE"""),10)</f>
        <v>10</v>
      </c>
      <c r="T117" s="52">
        <f>IFERROR(__xludf.DUMMYFUNCTION("""COMPUTED_VALUE"""),1.4)</f>
        <v>1.4</v>
      </c>
    </row>
    <row r="118" ht="12.5" spans="6:20">
      <c r="F118" s="3"/>
      <c r="G118" s="3"/>
      <c r="H118" s="3"/>
      <c r="I118" s="3"/>
      <c r="J118" s="3"/>
      <c r="Q118" s="52" t="str">
        <f>IFERROR(__xludf.DUMMYFUNCTION("""COMPUTED_VALUE"""),"Home / small appliance")</f>
        <v>Home / small appliance</v>
      </c>
      <c r="R118" s="52" t="str">
        <f>IFERROR(__xludf.DUMMYFUNCTION("""COMPUTED_VALUE"""),"Pan (28cm)")</f>
        <v>Pan (28cm)</v>
      </c>
      <c r="S118" s="52">
        <f>IFERROR(__xludf.DUMMYFUNCTION("""COMPUTED_VALUE"""),18.2)</f>
        <v>18.2</v>
      </c>
      <c r="T118" s="52">
        <f>IFERROR(__xludf.DUMMYFUNCTION("""COMPUTED_VALUE"""),2.548)</f>
        <v>2.548</v>
      </c>
    </row>
    <row r="119" ht="12.5" spans="6:10">
      <c r="F119" s="3"/>
      <c r="G119" s="3"/>
      <c r="H119" s="3"/>
      <c r="I119" s="3"/>
      <c r="J119" s="3"/>
    </row>
    <row r="120" ht="12.5" spans="6:10">
      <c r="F120" s="3"/>
      <c r="G120" s="3"/>
      <c r="H120" s="3"/>
      <c r="I120" s="3"/>
      <c r="J120" s="3"/>
    </row>
    <row r="121" ht="12.5" spans="6:10">
      <c r="F121" s="3"/>
      <c r="G121" s="3"/>
      <c r="H121" s="3"/>
      <c r="I121" s="3"/>
      <c r="J121" s="3"/>
    </row>
    <row r="122" ht="12.5" spans="6:10">
      <c r="F122" s="3"/>
      <c r="G122" s="3"/>
      <c r="H122" s="3"/>
      <c r="I122" s="3"/>
      <c r="J122" s="3"/>
    </row>
    <row r="123" ht="12.5" spans="6:10">
      <c r="F123" s="3"/>
      <c r="G123" s="3"/>
      <c r="H123" s="3"/>
      <c r="I123" s="3"/>
      <c r="J123" s="3"/>
    </row>
    <row r="124" ht="12.5" spans="6:10">
      <c r="F124" s="3"/>
      <c r="G124" s="3"/>
      <c r="H124" s="3"/>
      <c r="I124" s="3"/>
      <c r="J124" s="3"/>
    </row>
    <row r="125" ht="12.5" spans="6:10">
      <c r="F125" s="3"/>
      <c r="G125" s="3"/>
      <c r="H125" s="3"/>
      <c r="I125" s="3"/>
      <c r="J125" s="3"/>
    </row>
    <row r="126" ht="12.5" spans="6:10">
      <c r="F126" s="3"/>
      <c r="G126" s="3"/>
      <c r="H126" s="3"/>
      <c r="I126" s="3"/>
      <c r="J126" s="3"/>
    </row>
    <row r="127" ht="12.5" spans="6:10">
      <c r="F127" s="3"/>
      <c r="G127" s="3"/>
      <c r="H127" s="3"/>
      <c r="I127" s="3"/>
      <c r="J127" s="3"/>
    </row>
    <row r="128" ht="12.5" spans="6:10">
      <c r="F128" s="3"/>
      <c r="G128" s="3"/>
      <c r="H128" s="3"/>
      <c r="I128" s="3"/>
      <c r="J128" s="3"/>
    </row>
    <row r="129" ht="12.5" spans="6:10">
      <c r="F129" s="3"/>
      <c r="G129" s="3"/>
      <c r="H129" s="3"/>
      <c r="I129" s="3"/>
      <c r="J129" s="3"/>
    </row>
    <row r="130" ht="12.5" spans="6:10">
      <c r="F130" s="3"/>
      <c r="G130" s="3"/>
      <c r="H130" s="3"/>
      <c r="I130" s="3"/>
      <c r="J130" s="3"/>
    </row>
    <row r="131" ht="12.5" spans="6:10">
      <c r="F131" s="3"/>
      <c r="G131" s="3"/>
      <c r="H131" s="3"/>
      <c r="I131" s="3"/>
      <c r="J131" s="3"/>
    </row>
    <row r="132" ht="12.5" spans="6:10">
      <c r="F132" s="3"/>
      <c r="G132" s="3"/>
      <c r="H132" s="3"/>
      <c r="I132" s="3"/>
      <c r="J132" s="3"/>
    </row>
    <row r="133" ht="12.5" spans="6:10">
      <c r="F133" s="3"/>
      <c r="G133" s="3"/>
      <c r="H133" s="3"/>
      <c r="I133" s="3"/>
      <c r="J133" s="3"/>
    </row>
    <row r="134" ht="12.5" spans="6:10">
      <c r="F134" s="3"/>
      <c r="G134" s="3"/>
      <c r="H134" s="3"/>
      <c r="I134" s="3"/>
      <c r="J134" s="3"/>
    </row>
    <row r="135" ht="12.5" spans="6:10">
      <c r="F135" s="3"/>
      <c r="G135" s="3"/>
      <c r="H135" s="3"/>
      <c r="I135" s="3"/>
      <c r="J135" s="3"/>
    </row>
    <row r="136" ht="12.5" spans="6:10">
      <c r="F136" s="3"/>
      <c r="G136" s="3"/>
      <c r="H136" s="3"/>
      <c r="I136" s="3"/>
      <c r="J136" s="3"/>
    </row>
    <row r="137" ht="12.5" spans="6:10">
      <c r="F137" s="3"/>
      <c r="G137" s="3"/>
      <c r="H137" s="3"/>
      <c r="I137" s="3"/>
      <c r="J137" s="3"/>
    </row>
    <row r="138" ht="12.5" spans="6:10">
      <c r="F138" s="3"/>
      <c r="G138" s="3"/>
      <c r="H138" s="3"/>
      <c r="I138" s="3"/>
      <c r="J138" s="3"/>
    </row>
    <row r="139" ht="12.5" spans="6:10">
      <c r="F139" s="3"/>
      <c r="G139" s="3"/>
      <c r="H139" s="3"/>
      <c r="I139" s="3"/>
      <c r="J139" s="3"/>
    </row>
    <row r="140" ht="12.5" spans="6:10">
      <c r="F140" s="3"/>
      <c r="G140" s="3"/>
      <c r="H140" s="3"/>
      <c r="I140" s="3"/>
      <c r="J140" s="3"/>
    </row>
    <row r="141" ht="12.5" spans="6:10">
      <c r="F141" s="3"/>
      <c r="G141" s="3"/>
      <c r="H141" s="3"/>
      <c r="I141" s="3"/>
      <c r="J141" s="3"/>
    </row>
    <row r="142" ht="12.5" spans="6:10">
      <c r="F142" s="3"/>
      <c r="G142" s="3"/>
      <c r="H142" s="3"/>
      <c r="I142" s="3"/>
      <c r="J142" s="3"/>
    </row>
    <row r="143" ht="12.5" spans="6:10">
      <c r="F143" s="3"/>
      <c r="G143" s="3"/>
      <c r="H143" s="3"/>
      <c r="I143" s="3"/>
      <c r="J143" s="3"/>
    </row>
    <row r="144" ht="12.5" spans="6:10">
      <c r="F144" s="3"/>
      <c r="G144" s="3"/>
      <c r="H144" s="3"/>
      <c r="I144" s="3"/>
      <c r="J144" s="3"/>
    </row>
    <row r="145" ht="12.5" spans="6:10">
      <c r="F145" s="3"/>
      <c r="G145" s="3"/>
      <c r="H145" s="3"/>
      <c r="I145" s="3"/>
      <c r="J145" s="3"/>
    </row>
    <row r="146" ht="12.5" spans="6:10">
      <c r="F146" s="3"/>
      <c r="G146" s="3"/>
      <c r="H146" s="3"/>
      <c r="I146" s="3"/>
      <c r="J146" s="3"/>
    </row>
    <row r="147" ht="12.5" spans="6:10">
      <c r="F147" s="3"/>
      <c r="G147" s="3"/>
      <c r="H147" s="3"/>
      <c r="I147" s="3"/>
      <c r="J147" s="3"/>
    </row>
    <row r="148" ht="12.5" spans="6:10">
      <c r="F148" s="3"/>
      <c r="G148" s="3"/>
      <c r="H148" s="3"/>
      <c r="I148" s="3"/>
      <c r="J148" s="3"/>
    </row>
    <row r="149" ht="12.5" spans="6:10">
      <c r="F149" s="3"/>
      <c r="G149" s="3"/>
      <c r="H149" s="3"/>
      <c r="I149" s="3"/>
      <c r="J149" s="3"/>
    </row>
    <row r="150" ht="12.5" spans="6:10">
      <c r="F150" s="3"/>
      <c r="G150" s="3"/>
      <c r="H150" s="3"/>
      <c r="I150" s="3"/>
      <c r="J150" s="3"/>
    </row>
    <row r="151" ht="12.5" spans="6:10">
      <c r="F151" s="3"/>
      <c r="G151" s="3"/>
      <c r="H151" s="3"/>
      <c r="I151" s="3"/>
      <c r="J151" s="3"/>
    </row>
    <row r="152" ht="12.5" spans="6:10">
      <c r="F152" s="3"/>
      <c r="G152" s="3"/>
      <c r="H152" s="3"/>
      <c r="I152" s="3"/>
      <c r="J152" s="3"/>
    </row>
    <row r="153" ht="12.5" spans="6:10">
      <c r="F153" s="3"/>
      <c r="G153" s="3"/>
      <c r="H153" s="3"/>
      <c r="I153" s="3"/>
      <c r="J153" s="3"/>
    </row>
    <row r="154" ht="12.5" spans="6:10">
      <c r="F154" s="3"/>
      <c r="G154" s="3"/>
      <c r="H154" s="3"/>
      <c r="I154" s="3"/>
      <c r="J154" s="3"/>
    </row>
    <row r="155" ht="12.5" spans="6:10">
      <c r="F155" s="3"/>
      <c r="G155" s="3"/>
      <c r="H155" s="3"/>
      <c r="I155" s="3"/>
      <c r="J155" s="3"/>
    </row>
    <row r="156" ht="12.5" spans="6:10">
      <c r="F156" s="3"/>
      <c r="G156" s="3"/>
      <c r="H156" s="3"/>
      <c r="I156" s="3"/>
      <c r="J156" s="3"/>
    </row>
    <row r="157" ht="12.5" spans="6:10">
      <c r="F157" s="3"/>
      <c r="G157" s="3"/>
      <c r="H157" s="3"/>
      <c r="I157" s="3"/>
      <c r="J157" s="3"/>
    </row>
    <row r="158" ht="12.5" spans="6:10">
      <c r="F158" s="3"/>
      <c r="G158" s="3"/>
      <c r="H158" s="3"/>
      <c r="I158" s="3"/>
      <c r="J158" s="3"/>
    </row>
    <row r="159" ht="12.5" spans="6:10">
      <c r="F159" s="3"/>
      <c r="G159" s="3"/>
      <c r="H159" s="3"/>
      <c r="I159" s="3"/>
      <c r="J159" s="3"/>
    </row>
    <row r="160" ht="12.5" spans="6:10">
      <c r="F160" s="3"/>
      <c r="G160" s="3"/>
      <c r="H160" s="3"/>
      <c r="I160" s="3"/>
      <c r="J160" s="3"/>
    </row>
    <row r="161" ht="12.5" spans="6:10">
      <c r="F161" s="3"/>
      <c r="G161" s="3"/>
      <c r="H161" s="3"/>
      <c r="I161" s="3"/>
      <c r="J161" s="3"/>
    </row>
    <row r="162" ht="12.5" spans="6:10">
      <c r="F162" s="3"/>
      <c r="G162" s="3"/>
      <c r="H162" s="3"/>
      <c r="I162" s="3"/>
      <c r="J162" s="3"/>
    </row>
    <row r="163" ht="12.5" spans="6:10">
      <c r="F163" s="3"/>
      <c r="G163" s="3"/>
      <c r="H163" s="3"/>
      <c r="I163" s="3"/>
      <c r="J163" s="3"/>
    </row>
    <row r="164" ht="12.5" spans="6:10">
      <c r="F164" s="3"/>
      <c r="G164" s="3"/>
      <c r="H164" s="3"/>
      <c r="I164" s="3"/>
      <c r="J164" s="3"/>
    </row>
    <row r="165" ht="12.5" spans="6:10">
      <c r="F165" s="3"/>
      <c r="G165" s="3"/>
      <c r="H165" s="3"/>
      <c r="I165" s="3"/>
      <c r="J165" s="3"/>
    </row>
    <row r="166" ht="12.5" spans="6:10">
      <c r="F166" s="3"/>
      <c r="G166" s="3"/>
      <c r="H166" s="3"/>
      <c r="I166" s="3"/>
      <c r="J166" s="3"/>
    </row>
    <row r="167" ht="12.5" spans="6:10">
      <c r="F167" s="3"/>
      <c r="G167" s="3"/>
      <c r="H167" s="3"/>
      <c r="I167" s="3"/>
      <c r="J167" s="3"/>
    </row>
    <row r="168" ht="12.5" spans="6:10">
      <c r="F168" s="3"/>
      <c r="G168" s="3"/>
      <c r="H168" s="3"/>
      <c r="I168" s="3"/>
      <c r="J168" s="3"/>
    </row>
    <row r="169" ht="12.5" spans="6:10">
      <c r="F169" s="3"/>
      <c r="G169" s="3"/>
      <c r="H169" s="3"/>
      <c r="I169" s="3"/>
      <c r="J169" s="3"/>
    </row>
    <row r="170" ht="12.5" spans="6:10">
      <c r="F170" s="3"/>
      <c r="G170" s="3"/>
      <c r="H170" s="3"/>
      <c r="I170" s="3"/>
      <c r="J170" s="3"/>
    </row>
    <row r="171" ht="12.5" spans="6:10">
      <c r="F171" s="3"/>
      <c r="G171" s="3"/>
      <c r="H171" s="3"/>
      <c r="I171" s="3"/>
      <c r="J171" s="3"/>
    </row>
    <row r="172" ht="12.5" spans="6:10">
      <c r="F172" s="3"/>
      <c r="G172" s="3"/>
      <c r="H172" s="3"/>
      <c r="I172" s="3"/>
      <c r="J172" s="3"/>
    </row>
    <row r="173" ht="12.5" spans="6:10">
      <c r="F173" s="3"/>
      <c r="G173" s="3"/>
      <c r="H173" s="3"/>
      <c r="I173" s="3"/>
      <c r="J173" s="3"/>
    </row>
    <row r="174" ht="12.5" spans="6:10">
      <c r="F174" s="3"/>
      <c r="G174" s="3"/>
      <c r="H174" s="3"/>
      <c r="I174" s="3"/>
      <c r="J174" s="3"/>
    </row>
    <row r="175" ht="12.5" spans="6:10">
      <c r="F175" s="3"/>
      <c r="G175" s="3"/>
      <c r="H175" s="3"/>
      <c r="I175" s="3"/>
      <c r="J175" s="3"/>
    </row>
    <row r="176" ht="12.5" spans="6:10">
      <c r="F176" s="3"/>
      <c r="G176" s="3"/>
      <c r="H176" s="3"/>
      <c r="I176" s="3"/>
      <c r="J176" s="3"/>
    </row>
    <row r="177" ht="12.5" spans="6:10">
      <c r="F177" s="3"/>
      <c r="G177" s="3"/>
      <c r="H177" s="3"/>
      <c r="I177" s="3"/>
      <c r="J177" s="3"/>
    </row>
    <row r="178" ht="12.5" spans="6:10">
      <c r="F178" s="3"/>
      <c r="G178" s="3"/>
      <c r="H178" s="3"/>
      <c r="I178" s="3"/>
      <c r="J178" s="3"/>
    </row>
    <row r="179" ht="12.5" spans="6:10">
      <c r="F179" s="3"/>
      <c r="G179" s="3"/>
      <c r="H179" s="3"/>
      <c r="I179" s="3"/>
      <c r="J179" s="3"/>
    </row>
    <row r="180" ht="12.5" spans="6:10">
      <c r="F180" s="3"/>
      <c r="G180" s="3"/>
      <c r="H180" s="3"/>
      <c r="I180" s="3"/>
      <c r="J180" s="3"/>
    </row>
    <row r="181" ht="12.5" spans="6:10">
      <c r="F181" s="3"/>
      <c r="G181" s="3"/>
      <c r="H181" s="3"/>
      <c r="I181" s="3"/>
      <c r="J181" s="3"/>
    </row>
    <row r="182" ht="12.5" spans="6:10">
      <c r="F182" s="3"/>
      <c r="G182" s="3"/>
      <c r="H182" s="3"/>
      <c r="I182" s="3"/>
      <c r="J182" s="3"/>
    </row>
    <row r="183" ht="12.5" spans="6:10">
      <c r="F183" s="3"/>
      <c r="G183" s="3"/>
      <c r="H183" s="3"/>
      <c r="I183" s="3"/>
      <c r="J183" s="3"/>
    </row>
    <row r="184" ht="12.5" spans="6:10">
      <c r="F184" s="3"/>
      <c r="G184" s="3"/>
      <c r="H184" s="3"/>
      <c r="I184" s="3"/>
      <c r="J184" s="3"/>
    </row>
    <row r="185" ht="12.5" spans="6:10">
      <c r="F185" s="3"/>
      <c r="G185" s="3"/>
      <c r="H185" s="3"/>
      <c r="I185" s="3"/>
      <c r="J185" s="3"/>
    </row>
    <row r="186" ht="12.5" spans="6:10">
      <c r="F186" s="3"/>
      <c r="G186" s="3"/>
      <c r="H186" s="3"/>
      <c r="I186" s="3"/>
      <c r="J186" s="3"/>
    </row>
    <row r="187" ht="12.5" spans="6:10">
      <c r="F187" s="3"/>
      <c r="G187" s="3"/>
      <c r="H187" s="3"/>
      <c r="I187" s="3"/>
      <c r="J187" s="3"/>
    </row>
    <row r="188" ht="12.5" spans="6:10">
      <c r="F188" s="3"/>
      <c r="G188" s="3"/>
      <c r="H188" s="3"/>
      <c r="I188" s="3"/>
      <c r="J188" s="3"/>
    </row>
    <row r="189" ht="12.5" spans="6:10">
      <c r="F189" s="3"/>
      <c r="G189" s="3"/>
      <c r="H189" s="3"/>
      <c r="I189" s="3"/>
      <c r="J189" s="3"/>
    </row>
    <row r="190" ht="12.5" spans="6:10">
      <c r="F190" s="3"/>
      <c r="G190" s="3"/>
      <c r="H190" s="3"/>
      <c r="I190" s="3"/>
      <c r="J190" s="3"/>
    </row>
    <row r="191" ht="12.5" spans="6:10">
      <c r="F191" s="3"/>
      <c r="G191" s="3"/>
      <c r="H191" s="3"/>
      <c r="I191" s="3"/>
      <c r="J191" s="3"/>
    </row>
    <row r="192" ht="12.5" spans="6:10">
      <c r="F192" s="3"/>
      <c r="G192" s="3"/>
      <c r="H192" s="3"/>
      <c r="I192" s="3"/>
      <c r="J192" s="3"/>
    </row>
    <row r="193" ht="12.5" spans="6:10">
      <c r="F193" s="3"/>
      <c r="G193" s="3"/>
      <c r="H193" s="3"/>
      <c r="I193" s="3"/>
      <c r="J193" s="3"/>
    </row>
    <row r="194" ht="12.5" spans="6:10">
      <c r="F194" s="3"/>
      <c r="G194" s="3"/>
      <c r="H194" s="3"/>
      <c r="I194" s="3"/>
      <c r="J194" s="3"/>
    </row>
    <row r="195" ht="12.5" spans="6:10">
      <c r="F195" s="3"/>
      <c r="G195" s="3"/>
      <c r="H195" s="3"/>
      <c r="I195" s="3"/>
      <c r="J195" s="3"/>
    </row>
    <row r="196" ht="12.5" spans="6:10">
      <c r="F196" s="3"/>
      <c r="G196" s="3"/>
      <c r="H196" s="3"/>
      <c r="I196" s="3"/>
      <c r="J196" s="3"/>
    </row>
    <row r="197" ht="12.5" spans="6:10">
      <c r="F197" s="3"/>
      <c r="G197" s="3"/>
      <c r="H197" s="3"/>
      <c r="I197" s="3"/>
      <c r="J197" s="3"/>
    </row>
    <row r="198" ht="12.5" spans="6:10">
      <c r="F198" s="3"/>
      <c r="G198" s="3"/>
      <c r="H198" s="3"/>
      <c r="I198" s="3"/>
      <c r="J198" s="3"/>
    </row>
    <row r="199" ht="12.5" spans="6:10">
      <c r="F199" s="3"/>
      <c r="G199" s="3"/>
      <c r="H199" s="3"/>
      <c r="I199" s="3"/>
      <c r="J199" s="3"/>
    </row>
    <row r="200" ht="12.5" spans="6:10">
      <c r="F200" s="3"/>
      <c r="G200" s="3"/>
      <c r="H200" s="3"/>
      <c r="I200" s="3"/>
      <c r="J200" s="3"/>
    </row>
    <row r="201" ht="12.5" spans="6:10">
      <c r="F201" s="3"/>
      <c r="G201" s="3"/>
      <c r="H201" s="3"/>
      <c r="I201" s="3"/>
      <c r="J201" s="3"/>
    </row>
    <row r="202" ht="12.5" spans="6:10">
      <c r="F202" s="3"/>
      <c r="G202" s="3"/>
      <c r="H202" s="3"/>
      <c r="I202" s="3"/>
      <c r="J202" s="3"/>
    </row>
    <row r="203" ht="12.5" spans="6:10">
      <c r="F203" s="3"/>
      <c r="G203" s="3"/>
      <c r="H203" s="3"/>
      <c r="I203" s="3"/>
      <c r="J203" s="3"/>
    </row>
    <row r="204" ht="12.5" spans="6:10">
      <c r="F204" s="3"/>
      <c r="G204" s="3"/>
      <c r="H204" s="3"/>
      <c r="I204" s="3"/>
      <c r="J204" s="3"/>
    </row>
    <row r="205" ht="12.5" spans="6:10">
      <c r="F205" s="3"/>
      <c r="G205" s="3"/>
      <c r="H205" s="3"/>
      <c r="I205" s="3"/>
      <c r="J205" s="3"/>
    </row>
    <row r="206" ht="12.5" spans="6:10">
      <c r="F206" s="3"/>
      <c r="G206" s="3"/>
      <c r="H206" s="3"/>
      <c r="I206" s="3"/>
      <c r="J206" s="3"/>
    </row>
    <row r="207" ht="12.5" spans="6:10">
      <c r="F207" s="3"/>
      <c r="G207" s="3"/>
      <c r="H207" s="3"/>
      <c r="I207" s="3"/>
      <c r="J207" s="3"/>
    </row>
    <row r="208" ht="12.5" spans="6:10">
      <c r="F208" s="3"/>
      <c r="G208" s="3"/>
      <c r="H208" s="3"/>
      <c r="I208" s="3"/>
      <c r="J208" s="3"/>
    </row>
    <row r="209" ht="12.5" spans="6:10">
      <c r="F209" s="3"/>
      <c r="G209" s="3"/>
      <c r="H209" s="3"/>
      <c r="I209" s="3"/>
      <c r="J209" s="3"/>
    </row>
    <row r="210" ht="12.5" spans="6:10">
      <c r="F210" s="3"/>
      <c r="G210" s="3"/>
      <c r="H210" s="3"/>
      <c r="I210" s="3"/>
      <c r="J210" s="3"/>
    </row>
    <row r="211" ht="12.5" spans="6:10">
      <c r="F211" s="3"/>
      <c r="G211" s="3"/>
      <c r="H211" s="3"/>
      <c r="I211" s="3"/>
      <c r="J211" s="3"/>
    </row>
    <row r="212" ht="12.5" spans="6:10">
      <c r="F212" s="3"/>
      <c r="G212" s="3"/>
      <c r="H212" s="3"/>
      <c r="I212" s="3"/>
      <c r="J212" s="3"/>
    </row>
    <row r="213" ht="12.5" spans="6:10">
      <c r="F213" s="3"/>
      <c r="G213" s="3"/>
      <c r="H213" s="3"/>
      <c r="I213" s="3"/>
      <c r="J213" s="3"/>
    </row>
    <row r="214" ht="12.5" spans="6:10">
      <c r="F214" s="3"/>
      <c r="G214" s="3"/>
      <c r="H214" s="3"/>
      <c r="I214" s="3"/>
      <c r="J214" s="3"/>
    </row>
    <row r="215" ht="12.5" spans="6:10">
      <c r="F215" s="3"/>
      <c r="G215" s="3"/>
      <c r="H215" s="3"/>
      <c r="I215" s="3"/>
      <c r="J215" s="3"/>
    </row>
    <row r="216" ht="12.5" spans="6:10">
      <c r="F216" s="3"/>
      <c r="G216" s="3"/>
      <c r="H216" s="3"/>
      <c r="I216" s="3"/>
      <c r="J216" s="3"/>
    </row>
    <row r="217" ht="12.5" spans="6:10">
      <c r="F217" s="3"/>
      <c r="G217" s="3"/>
      <c r="H217" s="3"/>
      <c r="I217" s="3"/>
      <c r="J217" s="3"/>
    </row>
    <row r="218" ht="12.5" spans="6:10">
      <c r="F218" s="3"/>
      <c r="G218" s="3"/>
      <c r="H218" s="3"/>
      <c r="I218" s="3"/>
      <c r="J218" s="3"/>
    </row>
    <row r="219" ht="12.5" spans="6:10">
      <c r="F219" s="3"/>
      <c r="G219" s="3"/>
      <c r="H219" s="3"/>
      <c r="I219" s="3"/>
      <c r="J219" s="3"/>
    </row>
    <row r="220" ht="12.5" spans="6:10">
      <c r="F220" s="3"/>
      <c r="G220" s="3"/>
      <c r="H220" s="3"/>
      <c r="I220" s="3"/>
      <c r="J220" s="3"/>
    </row>
    <row r="221" ht="12.5" spans="6:10">
      <c r="F221" s="3"/>
      <c r="G221" s="3"/>
      <c r="H221" s="3"/>
      <c r="I221" s="3"/>
      <c r="J221" s="3"/>
    </row>
    <row r="222" ht="12.5" spans="6:10">
      <c r="F222" s="3"/>
      <c r="G222" s="3"/>
      <c r="H222" s="3"/>
      <c r="I222" s="3"/>
      <c r="J222" s="3"/>
    </row>
    <row r="223" ht="12.5" spans="6:10">
      <c r="F223" s="3"/>
      <c r="G223" s="3"/>
      <c r="H223" s="3"/>
      <c r="I223" s="3"/>
      <c r="J223" s="3"/>
    </row>
    <row r="224" ht="12.5" spans="6:10">
      <c r="F224" s="3"/>
      <c r="G224" s="3"/>
      <c r="H224" s="3"/>
      <c r="I224" s="3"/>
      <c r="J224" s="3"/>
    </row>
    <row r="225" ht="12.5" spans="6:10">
      <c r="F225" s="3"/>
      <c r="G225" s="3"/>
      <c r="H225" s="3"/>
      <c r="I225" s="3"/>
      <c r="J225" s="3"/>
    </row>
    <row r="226" ht="12.5" spans="6:10">
      <c r="F226" s="3"/>
      <c r="G226" s="3"/>
      <c r="H226" s="3"/>
      <c r="I226" s="3"/>
      <c r="J226" s="3"/>
    </row>
    <row r="227" ht="12.5" spans="6:10">
      <c r="F227" s="3"/>
      <c r="G227" s="3"/>
      <c r="H227" s="3"/>
      <c r="I227" s="3"/>
      <c r="J227" s="3"/>
    </row>
    <row r="228" ht="12.5" spans="6:10">
      <c r="F228" s="3"/>
      <c r="G228" s="3"/>
      <c r="H228" s="3"/>
      <c r="I228" s="3"/>
      <c r="J228" s="3"/>
    </row>
    <row r="229" ht="12.5" spans="6:10">
      <c r="F229" s="3"/>
      <c r="G229" s="3"/>
      <c r="H229" s="3"/>
      <c r="I229" s="3"/>
      <c r="J229" s="3"/>
    </row>
    <row r="230" ht="12.5" spans="6:10">
      <c r="F230" s="3"/>
      <c r="G230" s="3"/>
      <c r="H230" s="3"/>
      <c r="I230" s="3"/>
      <c r="J230" s="3"/>
    </row>
    <row r="231" ht="12.5" spans="6:10">
      <c r="F231" s="3"/>
      <c r="G231" s="3"/>
      <c r="H231" s="3"/>
      <c r="I231" s="3"/>
      <c r="J231" s="3"/>
    </row>
    <row r="232" ht="12.5" spans="6:10">
      <c r="F232" s="3"/>
      <c r="G232" s="3"/>
      <c r="H232" s="3"/>
      <c r="I232" s="3"/>
      <c r="J232" s="3"/>
    </row>
    <row r="233" ht="12.5" spans="6:10">
      <c r="F233" s="3"/>
      <c r="G233" s="3"/>
      <c r="H233" s="3"/>
      <c r="I233" s="3"/>
      <c r="J233" s="3"/>
    </row>
    <row r="234" ht="12.5" spans="6:10">
      <c r="F234" s="3"/>
      <c r="G234" s="3"/>
      <c r="H234" s="3"/>
      <c r="I234" s="3"/>
      <c r="J234" s="3"/>
    </row>
    <row r="235" ht="12.5" spans="6:10">
      <c r="F235" s="3"/>
      <c r="G235" s="3"/>
      <c r="H235" s="3"/>
      <c r="I235" s="3"/>
      <c r="J235" s="3"/>
    </row>
    <row r="236" ht="12.5" spans="6:10">
      <c r="F236" s="3"/>
      <c r="G236" s="3"/>
      <c r="H236" s="3"/>
      <c r="I236" s="3"/>
      <c r="J236" s="3"/>
    </row>
    <row r="237" ht="12.5" spans="6:10">
      <c r="F237" s="3"/>
      <c r="G237" s="3"/>
      <c r="H237" s="3"/>
      <c r="I237" s="3"/>
      <c r="J237" s="3"/>
    </row>
    <row r="238" ht="12.5" spans="6:10">
      <c r="F238" s="3"/>
      <c r="G238" s="3"/>
      <c r="H238" s="3"/>
      <c r="I238" s="3"/>
      <c r="J238" s="3"/>
    </row>
    <row r="239" ht="12.5" spans="6:10">
      <c r="F239" s="3"/>
      <c r="G239" s="3"/>
      <c r="H239" s="3"/>
      <c r="I239" s="3"/>
      <c r="J239" s="3"/>
    </row>
    <row r="240" ht="12.5" spans="6:10">
      <c r="F240" s="3"/>
      <c r="G240" s="3"/>
      <c r="H240" s="3"/>
      <c r="I240" s="3"/>
      <c r="J240" s="3"/>
    </row>
    <row r="241" ht="12.5" spans="6:10">
      <c r="F241" s="3"/>
      <c r="G241" s="3"/>
      <c r="H241" s="3"/>
      <c r="I241" s="3"/>
      <c r="J241" s="3"/>
    </row>
    <row r="242" ht="12.5" spans="6:10">
      <c r="F242" s="3"/>
      <c r="G242" s="3"/>
      <c r="H242" s="3"/>
      <c r="I242" s="3"/>
      <c r="J242" s="3"/>
    </row>
    <row r="243" ht="12.5" spans="6:10">
      <c r="F243" s="3"/>
      <c r="G243" s="3"/>
      <c r="H243" s="3"/>
      <c r="I243" s="3"/>
      <c r="J243" s="3"/>
    </row>
    <row r="244" ht="12.5" spans="6:10">
      <c r="F244" s="3"/>
      <c r="G244" s="3"/>
      <c r="H244" s="3"/>
      <c r="I244" s="3"/>
      <c r="J244" s="3"/>
    </row>
    <row r="245" ht="12.5" spans="6:10">
      <c r="F245" s="3"/>
      <c r="G245" s="3"/>
      <c r="H245" s="3"/>
      <c r="I245" s="3"/>
      <c r="J245" s="3"/>
    </row>
    <row r="246" ht="12.5" spans="6:10">
      <c r="F246" s="3"/>
      <c r="G246" s="3"/>
      <c r="H246" s="3"/>
      <c r="I246" s="3"/>
      <c r="J246" s="3"/>
    </row>
    <row r="247" ht="12.5" spans="6:10">
      <c r="F247" s="3"/>
      <c r="G247" s="3"/>
      <c r="H247" s="3"/>
      <c r="I247" s="3"/>
      <c r="J247" s="3"/>
    </row>
    <row r="248" ht="12.5" spans="6:10">
      <c r="F248" s="3"/>
      <c r="G248" s="3"/>
      <c r="H248" s="3"/>
      <c r="I248" s="3"/>
      <c r="J248" s="3"/>
    </row>
    <row r="249" ht="12.5" spans="6:10">
      <c r="F249" s="3"/>
      <c r="G249" s="3"/>
      <c r="H249" s="3"/>
      <c r="I249" s="3"/>
      <c r="J249" s="3"/>
    </row>
    <row r="250" ht="12.5" spans="6:10">
      <c r="F250" s="3"/>
      <c r="G250" s="3"/>
      <c r="H250" s="3"/>
      <c r="I250" s="3"/>
      <c r="J250" s="3"/>
    </row>
    <row r="251" ht="12.5" spans="6:10">
      <c r="F251" s="3"/>
      <c r="G251" s="3"/>
      <c r="H251" s="3"/>
      <c r="I251" s="3"/>
      <c r="J251" s="3"/>
    </row>
    <row r="252" ht="12.5" spans="6:10">
      <c r="F252" s="3"/>
      <c r="G252" s="3"/>
      <c r="H252" s="3"/>
      <c r="I252" s="3"/>
      <c r="J252" s="3"/>
    </row>
    <row r="253" ht="12.5" spans="6:10">
      <c r="F253" s="3"/>
      <c r="G253" s="3"/>
      <c r="H253" s="3"/>
      <c r="I253" s="3"/>
      <c r="J253" s="3"/>
    </row>
    <row r="254" ht="12.5" spans="6:10">
      <c r="F254" s="3"/>
      <c r="G254" s="3"/>
      <c r="H254" s="3"/>
      <c r="I254" s="3"/>
      <c r="J254" s="3"/>
    </row>
    <row r="255" ht="12.5" spans="6:10">
      <c r="F255" s="3"/>
      <c r="G255" s="3"/>
      <c r="H255" s="3"/>
      <c r="I255" s="3"/>
      <c r="J255" s="3"/>
    </row>
    <row r="256" ht="12.5" spans="6:10">
      <c r="F256" s="3"/>
      <c r="G256" s="3"/>
      <c r="H256" s="3"/>
      <c r="I256" s="3"/>
      <c r="J256" s="3"/>
    </row>
    <row r="257" ht="12.5" spans="6:10">
      <c r="F257" s="3"/>
      <c r="G257" s="3"/>
      <c r="H257" s="3"/>
      <c r="I257" s="3"/>
      <c r="J257" s="3"/>
    </row>
    <row r="258" ht="12.5" spans="6:10">
      <c r="F258" s="3"/>
      <c r="G258" s="3"/>
      <c r="H258" s="3"/>
      <c r="I258" s="3"/>
      <c r="J258" s="3"/>
    </row>
    <row r="259" ht="12.5" spans="6:10">
      <c r="F259" s="3"/>
      <c r="G259" s="3"/>
      <c r="H259" s="3"/>
      <c r="I259" s="3"/>
      <c r="J259" s="3"/>
    </row>
    <row r="260" ht="12.5" spans="6:10">
      <c r="F260" s="3"/>
      <c r="G260" s="3"/>
      <c r="H260" s="3"/>
      <c r="I260" s="3"/>
      <c r="J260" s="3"/>
    </row>
    <row r="261" ht="12.5" spans="6:10">
      <c r="F261" s="3"/>
      <c r="G261" s="3"/>
      <c r="H261" s="3"/>
      <c r="I261" s="3"/>
      <c r="J261" s="3"/>
    </row>
    <row r="262" ht="12.5" spans="6:10">
      <c r="F262" s="3"/>
      <c r="G262" s="3"/>
      <c r="H262" s="3"/>
      <c r="I262" s="3"/>
      <c r="J262" s="3"/>
    </row>
    <row r="263" ht="12.5" spans="6:10">
      <c r="F263" s="3"/>
      <c r="G263" s="3"/>
      <c r="H263" s="3"/>
      <c r="I263" s="3"/>
      <c r="J263" s="3"/>
    </row>
    <row r="264" ht="12.5" spans="6:10">
      <c r="F264" s="3"/>
      <c r="G264" s="3"/>
      <c r="H264" s="3"/>
      <c r="I264" s="3"/>
      <c r="J264" s="3"/>
    </row>
    <row r="265" ht="12.5" spans="6:10">
      <c r="F265" s="3"/>
      <c r="G265" s="3"/>
      <c r="H265" s="3"/>
      <c r="I265" s="3"/>
      <c r="J265" s="3"/>
    </row>
    <row r="266" ht="12.5" spans="6:10">
      <c r="F266" s="3"/>
      <c r="G266" s="3"/>
      <c r="H266" s="3"/>
      <c r="I266" s="3"/>
      <c r="J266" s="3"/>
    </row>
    <row r="267" ht="12.5" spans="6:10">
      <c r="F267" s="3"/>
      <c r="G267" s="3"/>
      <c r="H267" s="3"/>
      <c r="I267" s="3"/>
      <c r="J267" s="3"/>
    </row>
    <row r="268" ht="12.5" spans="6:10">
      <c r="F268" s="3"/>
      <c r="G268" s="3"/>
      <c r="H268" s="3"/>
      <c r="I268" s="3"/>
      <c r="J268" s="3"/>
    </row>
    <row r="269" ht="12.5" spans="6:10">
      <c r="F269" s="3"/>
      <c r="G269" s="3"/>
      <c r="H269" s="3"/>
      <c r="I269" s="3"/>
      <c r="J269" s="3"/>
    </row>
    <row r="270" ht="12.5" spans="6:10">
      <c r="F270" s="3"/>
      <c r="G270" s="3"/>
      <c r="H270" s="3"/>
      <c r="I270" s="3"/>
      <c r="J270" s="3"/>
    </row>
    <row r="271" ht="12.5" spans="6:10">
      <c r="F271" s="3"/>
      <c r="G271" s="3"/>
      <c r="H271" s="3"/>
      <c r="I271" s="3"/>
      <c r="J271" s="3"/>
    </row>
    <row r="272" ht="12.5" spans="6:10">
      <c r="F272" s="3"/>
      <c r="G272" s="3"/>
      <c r="H272" s="3"/>
      <c r="I272" s="3"/>
      <c r="J272" s="3"/>
    </row>
    <row r="273" ht="12.5" spans="6:10">
      <c r="F273" s="3"/>
      <c r="G273" s="3"/>
      <c r="H273" s="3"/>
      <c r="I273" s="3"/>
      <c r="J273" s="3"/>
    </row>
    <row r="274" ht="12.5" spans="6:10">
      <c r="F274" s="3"/>
      <c r="G274" s="3"/>
      <c r="H274" s="3"/>
      <c r="I274" s="3"/>
      <c r="J274" s="3"/>
    </row>
    <row r="275" ht="12.5" spans="6:10">
      <c r="F275" s="3"/>
      <c r="G275" s="3"/>
      <c r="H275" s="3"/>
      <c r="I275" s="3"/>
      <c r="J275" s="3"/>
    </row>
    <row r="276" ht="12.5" spans="6:10">
      <c r="F276" s="3"/>
      <c r="G276" s="3"/>
      <c r="H276" s="3"/>
      <c r="I276" s="3"/>
      <c r="J276" s="3"/>
    </row>
    <row r="277" ht="12.5" spans="6:10">
      <c r="F277" s="3"/>
      <c r="G277" s="3"/>
      <c r="H277" s="3"/>
      <c r="I277" s="3"/>
      <c r="J277" s="3"/>
    </row>
    <row r="278" ht="12.5" spans="6:10">
      <c r="F278" s="3"/>
      <c r="G278" s="3"/>
      <c r="H278" s="3"/>
      <c r="I278" s="3"/>
      <c r="J278" s="3"/>
    </row>
    <row r="279" ht="12.5" spans="6:10">
      <c r="F279" s="3"/>
      <c r="G279" s="3"/>
      <c r="H279" s="3"/>
      <c r="I279" s="3"/>
      <c r="J279" s="3"/>
    </row>
    <row r="280" ht="12.5" spans="6:10">
      <c r="F280" s="3"/>
      <c r="G280" s="3"/>
      <c r="H280" s="3"/>
      <c r="I280" s="3"/>
      <c r="J280" s="3"/>
    </row>
    <row r="281" ht="12.5" spans="6:10">
      <c r="F281" s="3"/>
      <c r="G281" s="3"/>
      <c r="H281" s="3"/>
      <c r="I281" s="3"/>
      <c r="J281" s="3"/>
    </row>
    <row r="282" ht="12.5" spans="6:10">
      <c r="F282" s="3"/>
      <c r="G282" s="3"/>
      <c r="H282" s="3"/>
      <c r="I282" s="3"/>
      <c r="J282" s="3"/>
    </row>
    <row r="283" ht="12.5" spans="6:10">
      <c r="F283" s="3"/>
      <c r="G283" s="3"/>
      <c r="H283" s="3"/>
      <c r="I283" s="3"/>
      <c r="J283" s="3"/>
    </row>
    <row r="284" ht="12.5" spans="6:10">
      <c r="F284" s="3"/>
      <c r="G284" s="3"/>
      <c r="H284" s="3"/>
      <c r="I284" s="3"/>
      <c r="J284" s="3"/>
    </row>
    <row r="285" ht="12.5" spans="6:10">
      <c r="F285" s="3"/>
      <c r="G285" s="3"/>
      <c r="H285" s="3"/>
      <c r="I285" s="3"/>
      <c r="J285" s="3"/>
    </row>
    <row r="286" ht="12.5" spans="6:10">
      <c r="F286" s="3"/>
      <c r="G286" s="3"/>
      <c r="H286" s="3"/>
      <c r="I286" s="3"/>
      <c r="J286" s="3"/>
    </row>
    <row r="287" ht="12.5" spans="6:10">
      <c r="F287" s="3"/>
      <c r="G287" s="3"/>
      <c r="H287" s="3"/>
      <c r="I287" s="3"/>
      <c r="J287" s="3"/>
    </row>
    <row r="288" ht="12.5" spans="6:10">
      <c r="F288" s="3"/>
      <c r="G288" s="3"/>
      <c r="H288" s="3"/>
      <c r="I288" s="3"/>
      <c r="J288" s="3"/>
    </row>
    <row r="289" ht="12.5" spans="6:10">
      <c r="F289" s="3"/>
      <c r="G289" s="3"/>
      <c r="H289" s="3"/>
      <c r="I289" s="3"/>
      <c r="J289" s="3"/>
    </row>
    <row r="290" ht="12.5" spans="6:10">
      <c r="F290" s="3"/>
      <c r="G290" s="3"/>
      <c r="H290" s="3"/>
      <c r="I290" s="3"/>
      <c r="J290" s="3"/>
    </row>
    <row r="291" ht="12.5" spans="6:10">
      <c r="F291" s="3"/>
      <c r="G291" s="3"/>
      <c r="H291" s="3"/>
      <c r="I291" s="3"/>
      <c r="J291" s="3"/>
    </row>
    <row r="292" ht="12.5" spans="6:10">
      <c r="F292" s="3"/>
      <c r="G292" s="3"/>
      <c r="H292" s="3"/>
      <c r="I292" s="3"/>
      <c r="J292" s="3"/>
    </row>
    <row r="293" ht="12.5" spans="6:10">
      <c r="F293" s="3"/>
      <c r="G293" s="3"/>
      <c r="H293" s="3"/>
      <c r="I293" s="3"/>
      <c r="J293" s="3"/>
    </row>
    <row r="294" ht="12.5" spans="6:10">
      <c r="F294" s="3"/>
      <c r="G294" s="3"/>
      <c r="H294" s="3"/>
      <c r="I294" s="3"/>
      <c r="J294" s="3"/>
    </row>
    <row r="295" ht="12.5" spans="6:10">
      <c r="F295" s="3"/>
      <c r="G295" s="3"/>
      <c r="H295" s="3"/>
      <c r="I295" s="3"/>
      <c r="J295" s="3"/>
    </row>
    <row r="296" ht="12.5" spans="6:10">
      <c r="F296" s="3"/>
      <c r="G296" s="3"/>
      <c r="H296" s="3"/>
      <c r="I296" s="3"/>
      <c r="J296" s="3"/>
    </row>
    <row r="297" ht="12.5" spans="6:10">
      <c r="F297" s="3"/>
      <c r="G297" s="3"/>
      <c r="H297" s="3"/>
      <c r="I297" s="3"/>
      <c r="J297" s="3"/>
    </row>
    <row r="298" ht="12.5" spans="6:10">
      <c r="F298" s="3"/>
      <c r="G298" s="3"/>
      <c r="H298" s="3"/>
      <c r="I298" s="3"/>
      <c r="J298" s="3"/>
    </row>
    <row r="299" ht="12.5" spans="6:10">
      <c r="F299" s="3"/>
      <c r="G299" s="3"/>
      <c r="H299" s="3"/>
      <c r="I299" s="3"/>
      <c r="J299" s="3"/>
    </row>
    <row r="300" ht="12.5" spans="6:10">
      <c r="F300" s="3"/>
      <c r="G300" s="3"/>
      <c r="H300" s="3"/>
      <c r="I300" s="3"/>
      <c r="J300" s="3"/>
    </row>
    <row r="301" ht="12.5" spans="6:10">
      <c r="F301" s="3"/>
      <c r="G301" s="3"/>
      <c r="H301" s="3"/>
      <c r="I301" s="3"/>
      <c r="J301" s="3"/>
    </row>
    <row r="302" ht="12.5" spans="6:10">
      <c r="F302" s="3"/>
      <c r="G302" s="3"/>
      <c r="H302" s="3"/>
      <c r="I302" s="3"/>
      <c r="J302" s="3"/>
    </row>
    <row r="303" ht="12.5" spans="6:10">
      <c r="F303" s="3"/>
      <c r="G303" s="3"/>
      <c r="H303" s="3"/>
      <c r="I303" s="3"/>
      <c r="J303" s="3"/>
    </row>
    <row r="304" ht="12.5" spans="6:10">
      <c r="F304" s="3"/>
      <c r="G304" s="3"/>
      <c r="H304" s="3"/>
      <c r="I304" s="3"/>
      <c r="J304" s="3"/>
    </row>
    <row r="305" ht="12.5" spans="6:10">
      <c r="F305" s="3"/>
      <c r="G305" s="3"/>
      <c r="H305" s="3"/>
      <c r="I305" s="3"/>
      <c r="J305" s="3"/>
    </row>
    <row r="306" ht="12.5" spans="6:10">
      <c r="F306" s="3"/>
      <c r="G306" s="3"/>
      <c r="H306" s="3"/>
      <c r="I306" s="3"/>
      <c r="J306" s="3"/>
    </row>
    <row r="307" ht="12.5" spans="6:10">
      <c r="F307" s="3"/>
      <c r="G307" s="3"/>
      <c r="H307" s="3"/>
      <c r="I307" s="3"/>
      <c r="J307" s="3"/>
    </row>
    <row r="308" ht="12.5" spans="6:10">
      <c r="F308" s="3"/>
      <c r="G308" s="3"/>
      <c r="H308" s="3"/>
      <c r="I308" s="3"/>
      <c r="J308" s="3"/>
    </row>
    <row r="309" ht="12.5" spans="6:10">
      <c r="F309" s="3"/>
      <c r="G309" s="3"/>
      <c r="H309" s="3"/>
      <c r="I309" s="3"/>
      <c r="J309" s="3"/>
    </row>
    <row r="310" ht="12.5" spans="6:10">
      <c r="F310" s="3"/>
      <c r="G310" s="3"/>
      <c r="H310" s="3"/>
      <c r="I310" s="3"/>
      <c r="J310" s="3"/>
    </row>
    <row r="311" ht="12.5" spans="6:10">
      <c r="F311" s="3"/>
      <c r="G311" s="3"/>
      <c r="H311" s="3"/>
      <c r="I311" s="3"/>
      <c r="J311" s="3"/>
    </row>
    <row r="312" ht="12.5" spans="6:10">
      <c r="F312" s="3"/>
      <c r="G312" s="3"/>
      <c r="H312" s="3"/>
      <c r="I312" s="3"/>
      <c r="J312" s="3"/>
    </row>
    <row r="313" ht="12.5" spans="6:10">
      <c r="F313" s="3"/>
      <c r="G313" s="3"/>
      <c r="H313" s="3"/>
      <c r="I313" s="3"/>
      <c r="J313" s="3"/>
    </row>
    <row r="314" ht="12.5" spans="6:10">
      <c r="F314" s="3"/>
      <c r="G314" s="3"/>
      <c r="H314" s="3"/>
      <c r="I314" s="3"/>
      <c r="J314" s="3"/>
    </row>
    <row r="315" ht="12.5" spans="6:10">
      <c r="F315" s="3"/>
      <c r="G315" s="3"/>
      <c r="H315" s="3"/>
      <c r="I315" s="3"/>
      <c r="J315" s="3"/>
    </row>
    <row r="316" ht="12.5" spans="6:10">
      <c r="F316" s="3"/>
      <c r="G316" s="3"/>
      <c r="H316" s="3"/>
      <c r="I316" s="3"/>
      <c r="J316" s="3"/>
    </row>
    <row r="317" ht="12.5" spans="6:10">
      <c r="F317" s="3"/>
      <c r="G317" s="3"/>
      <c r="H317" s="3"/>
      <c r="I317" s="3"/>
      <c r="J317" s="3"/>
    </row>
    <row r="318" ht="12.5" spans="6:10">
      <c r="F318" s="3"/>
      <c r="G318" s="3"/>
      <c r="H318" s="3"/>
      <c r="I318" s="3"/>
      <c r="J318" s="3"/>
    </row>
    <row r="319" ht="12.5" spans="6:10">
      <c r="F319" s="3"/>
      <c r="G319" s="3"/>
      <c r="H319" s="3"/>
      <c r="I319" s="3"/>
      <c r="J319" s="3"/>
    </row>
    <row r="320" ht="12.5" spans="6:10">
      <c r="F320" s="3"/>
      <c r="G320" s="3"/>
      <c r="H320" s="3"/>
      <c r="I320" s="3"/>
      <c r="J320" s="3"/>
    </row>
    <row r="321" ht="12.5" spans="6:10">
      <c r="F321" s="3"/>
      <c r="G321" s="3"/>
      <c r="H321" s="3"/>
      <c r="I321" s="3"/>
      <c r="J321" s="3"/>
    </row>
    <row r="322" ht="12.5" spans="6:10">
      <c r="F322" s="3"/>
      <c r="G322" s="3"/>
      <c r="H322" s="3"/>
      <c r="I322" s="3"/>
      <c r="J322" s="3"/>
    </row>
    <row r="323" ht="12.5" spans="6:10">
      <c r="F323" s="3"/>
      <c r="G323" s="3"/>
      <c r="H323" s="3"/>
      <c r="I323" s="3"/>
      <c r="J323" s="3"/>
    </row>
    <row r="324" ht="12.5" spans="6:10">
      <c r="F324" s="3"/>
      <c r="G324" s="3"/>
      <c r="H324" s="3"/>
      <c r="I324" s="3"/>
      <c r="J324" s="3"/>
    </row>
    <row r="325" ht="12.5" spans="6:10">
      <c r="F325" s="3"/>
      <c r="G325" s="3"/>
      <c r="H325" s="3"/>
      <c r="I325" s="3"/>
      <c r="J325" s="3"/>
    </row>
    <row r="326" ht="12.5" spans="6:10">
      <c r="F326" s="3"/>
      <c r="G326" s="3"/>
      <c r="H326" s="3"/>
      <c r="I326" s="3"/>
      <c r="J326" s="3"/>
    </row>
    <row r="327" ht="12.5" spans="6:10">
      <c r="F327" s="3"/>
      <c r="G327" s="3"/>
      <c r="H327" s="3"/>
      <c r="I327" s="3"/>
      <c r="J327" s="3"/>
    </row>
    <row r="328" ht="12.5" spans="6:10">
      <c r="F328" s="3"/>
      <c r="G328" s="3"/>
      <c r="H328" s="3"/>
      <c r="I328" s="3"/>
      <c r="J328" s="3"/>
    </row>
    <row r="329" ht="12.5" spans="6:10">
      <c r="F329" s="3"/>
      <c r="G329" s="3"/>
      <c r="H329" s="3"/>
      <c r="I329" s="3"/>
      <c r="J329" s="3"/>
    </row>
    <row r="330" ht="12.5" spans="6:10">
      <c r="F330" s="3"/>
      <c r="G330" s="3"/>
      <c r="H330" s="3"/>
      <c r="I330" s="3"/>
      <c r="J330" s="3"/>
    </row>
    <row r="331" ht="12.5" spans="6:10">
      <c r="F331" s="3"/>
      <c r="G331" s="3"/>
      <c r="H331" s="3"/>
      <c r="I331" s="3"/>
      <c r="J331" s="3"/>
    </row>
    <row r="332" ht="12.5" spans="6:10">
      <c r="F332" s="3"/>
      <c r="G332" s="3"/>
      <c r="H332" s="3"/>
      <c r="I332" s="3"/>
      <c r="J332" s="3"/>
    </row>
    <row r="333" ht="12.5" spans="6:10">
      <c r="F333" s="3"/>
      <c r="G333" s="3"/>
      <c r="H333" s="3"/>
      <c r="I333" s="3"/>
      <c r="J333" s="3"/>
    </row>
    <row r="334" ht="12.5" spans="6:10">
      <c r="F334" s="3"/>
      <c r="G334" s="3"/>
      <c r="H334" s="3"/>
      <c r="I334" s="3"/>
      <c r="J334" s="3"/>
    </row>
    <row r="335" ht="12.5" spans="6:10">
      <c r="F335" s="3"/>
      <c r="G335" s="3"/>
      <c r="H335" s="3"/>
      <c r="I335" s="3"/>
      <c r="J335" s="3"/>
    </row>
    <row r="336" ht="12.5" spans="6:10">
      <c r="F336" s="3"/>
      <c r="G336" s="3"/>
      <c r="H336" s="3"/>
      <c r="I336" s="3"/>
      <c r="J336" s="3"/>
    </row>
    <row r="337" ht="12.5" spans="6:10">
      <c r="F337" s="3"/>
      <c r="G337" s="3"/>
      <c r="H337" s="3"/>
      <c r="I337" s="3"/>
      <c r="J337" s="3"/>
    </row>
    <row r="338" ht="12.5" spans="6:10">
      <c r="F338" s="3"/>
      <c r="G338" s="3"/>
      <c r="H338" s="3"/>
      <c r="I338" s="3"/>
      <c r="J338" s="3"/>
    </row>
    <row r="339" ht="12.5" spans="6:10">
      <c r="F339" s="3"/>
      <c r="G339" s="3"/>
      <c r="H339" s="3"/>
      <c r="I339" s="3"/>
      <c r="J339" s="3"/>
    </row>
    <row r="340" ht="12.5" spans="6:10">
      <c r="F340" s="3"/>
      <c r="G340" s="3"/>
      <c r="H340" s="3"/>
      <c r="I340" s="3"/>
      <c r="J340" s="3"/>
    </row>
    <row r="341" ht="12.5" spans="6:10">
      <c r="F341" s="3"/>
      <c r="G341" s="3"/>
      <c r="H341" s="3"/>
      <c r="I341" s="3"/>
      <c r="J341" s="3"/>
    </row>
    <row r="342" ht="12.5" spans="6:10">
      <c r="F342" s="3"/>
      <c r="G342" s="3"/>
      <c r="H342" s="3"/>
      <c r="I342" s="3"/>
      <c r="J342" s="3"/>
    </row>
    <row r="343" ht="12.5" spans="6:10">
      <c r="F343" s="3"/>
      <c r="G343" s="3"/>
      <c r="H343" s="3"/>
      <c r="I343" s="3"/>
      <c r="J343" s="3"/>
    </row>
    <row r="344" ht="12.5" spans="6:10">
      <c r="F344" s="3"/>
      <c r="G344" s="3"/>
      <c r="H344" s="3"/>
      <c r="I344" s="3"/>
      <c r="J344" s="3"/>
    </row>
    <row r="345" ht="12.5" spans="6:10">
      <c r="F345" s="3"/>
      <c r="G345" s="3"/>
      <c r="H345" s="3"/>
      <c r="I345" s="3"/>
      <c r="J345" s="3"/>
    </row>
    <row r="346" ht="12.5" spans="6:10">
      <c r="F346" s="3"/>
      <c r="G346" s="3"/>
      <c r="H346" s="3"/>
      <c r="I346" s="3"/>
      <c r="J346" s="3"/>
    </row>
    <row r="347" ht="12.5" spans="6:10">
      <c r="F347" s="3"/>
      <c r="G347" s="3"/>
      <c r="H347" s="3"/>
      <c r="I347" s="3"/>
      <c r="J347" s="3"/>
    </row>
    <row r="348" ht="12.5" spans="6:10">
      <c r="F348" s="3"/>
      <c r="G348" s="3"/>
      <c r="H348" s="3"/>
      <c r="I348" s="3"/>
      <c r="J348" s="3"/>
    </row>
    <row r="349" ht="12.5" spans="6:10">
      <c r="F349" s="3"/>
      <c r="G349" s="3"/>
      <c r="H349" s="3"/>
      <c r="I349" s="3"/>
      <c r="J349" s="3"/>
    </row>
    <row r="350" ht="12.5" spans="6:10">
      <c r="F350" s="3"/>
      <c r="G350" s="3"/>
      <c r="H350" s="3"/>
      <c r="I350" s="3"/>
      <c r="J350" s="3"/>
    </row>
    <row r="351" ht="12.5" spans="6:10">
      <c r="F351" s="3"/>
      <c r="G351" s="3"/>
      <c r="H351" s="3"/>
      <c r="I351" s="3"/>
      <c r="J351" s="3"/>
    </row>
    <row r="352" ht="12.5" spans="6:10">
      <c r="F352" s="3"/>
      <c r="G352" s="3"/>
      <c r="H352" s="3"/>
      <c r="I352" s="3"/>
      <c r="J352" s="3"/>
    </row>
    <row r="353" ht="12.5" spans="6:10">
      <c r="F353" s="3"/>
      <c r="G353" s="3"/>
      <c r="H353" s="3"/>
      <c r="I353" s="3"/>
      <c r="J353" s="3"/>
    </row>
    <row r="354" ht="12.5" spans="6:10">
      <c r="F354" s="3"/>
      <c r="G354" s="3"/>
      <c r="H354" s="3"/>
      <c r="I354" s="3"/>
      <c r="J354" s="3"/>
    </row>
    <row r="355" ht="12.5" spans="6:10">
      <c r="F355" s="3"/>
      <c r="G355" s="3"/>
      <c r="H355" s="3"/>
      <c r="I355" s="3"/>
      <c r="J355" s="3"/>
    </row>
    <row r="356" ht="12.5" spans="6:10">
      <c r="F356" s="3"/>
      <c r="G356" s="3"/>
      <c r="H356" s="3"/>
      <c r="I356" s="3"/>
      <c r="J356" s="3"/>
    </row>
    <row r="357" ht="12.5" spans="6:10">
      <c r="F357" s="3"/>
      <c r="G357" s="3"/>
      <c r="H357" s="3"/>
      <c r="I357" s="3"/>
      <c r="J357" s="3"/>
    </row>
    <row r="358" ht="12.5" spans="6:10">
      <c r="F358" s="3"/>
      <c r="G358" s="3"/>
      <c r="H358" s="3"/>
      <c r="I358" s="3"/>
      <c r="J358" s="3"/>
    </row>
    <row r="359" ht="12.5" spans="6:10">
      <c r="F359" s="3"/>
      <c r="G359" s="3"/>
      <c r="H359" s="3"/>
      <c r="I359" s="3"/>
      <c r="J359" s="3"/>
    </row>
    <row r="360" ht="12.5" spans="6:10">
      <c r="F360" s="3"/>
      <c r="G360" s="3"/>
      <c r="H360" s="3"/>
      <c r="I360" s="3"/>
      <c r="J360" s="3"/>
    </row>
    <row r="361" ht="12.5" spans="6:10">
      <c r="F361" s="3"/>
      <c r="G361" s="3"/>
      <c r="H361" s="3"/>
      <c r="I361" s="3"/>
      <c r="J361" s="3"/>
    </row>
    <row r="362" ht="12.5" spans="6:10">
      <c r="F362" s="3"/>
      <c r="G362" s="3"/>
      <c r="H362" s="3"/>
      <c r="I362" s="3"/>
      <c r="J362" s="3"/>
    </row>
    <row r="363" ht="12.5" spans="6:10">
      <c r="F363" s="3"/>
      <c r="G363" s="3"/>
      <c r="H363" s="3"/>
      <c r="I363" s="3"/>
      <c r="J363" s="3"/>
    </row>
    <row r="364" ht="12.5" spans="6:10">
      <c r="F364" s="3"/>
      <c r="G364" s="3"/>
      <c r="H364" s="3"/>
      <c r="I364" s="3"/>
      <c r="J364" s="3"/>
    </row>
    <row r="365" ht="12.5" spans="6:10">
      <c r="F365" s="3"/>
      <c r="G365" s="3"/>
      <c r="H365" s="3"/>
      <c r="I365" s="3"/>
      <c r="J365" s="3"/>
    </row>
    <row r="366" ht="12.5" spans="6:10">
      <c r="F366" s="3"/>
      <c r="G366" s="3"/>
      <c r="H366" s="3"/>
      <c r="I366" s="3"/>
      <c r="J366" s="3"/>
    </row>
    <row r="367" ht="12.5" spans="6:10">
      <c r="F367" s="3"/>
      <c r="G367" s="3"/>
      <c r="H367" s="3"/>
      <c r="I367" s="3"/>
      <c r="J367" s="3"/>
    </row>
    <row r="368" ht="12.5" spans="6:10">
      <c r="F368" s="3"/>
      <c r="G368" s="3"/>
      <c r="H368" s="3"/>
      <c r="I368" s="3"/>
      <c r="J368" s="3"/>
    </row>
    <row r="369" ht="12.5" spans="6:10">
      <c r="F369" s="3"/>
      <c r="G369" s="3"/>
      <c r="H369" s="3"/>
      <c r="I369" s="3"/>
      <c r="J369" s="3"/>
    </row>
    <row r="370" ht="12.5" spans="6:10">
      <c r="F370" s="3"/>
      <c r="G370" s="3"/>
      <c r="H370" s="3"/>
      <c r="I370" s="3"/>
      <c r="J370" s="3"/>
    </row>
    <row r="371" ht="12.5" spans="6:10">
      <c r="F371" s="3"/>
      <c r="G371" s="3"/>
      <c r="H371" s="3"/>
      <c r="I371" s="3"/>
      <c r="J371" s="3"/>
    </row>
    <row r="372" ht="12.5" spans="6:10">
      <c r="F372" s="3"/>
      <c r="G372" s="3"/>
      <c r="H372" s="3"/>
      <c r="I372" s="3"/>
      <c r="J372" s="3"/>
    </row>
    <row r="373" ht="12.5" spans="6:10">
      <c r="F373" s="3"/>
      <c r="G373" s="3"/>
      <c r="H373" s="3"/>
      <c r="I373" s="3"/>
      <c r="J373" s="3"/>
    </row>
    <row r="374" ht="12.5" spans="6:10">
      <c r="F374" s="3"/>
      <c r="G374" s="3"/>
      <c r="H374" s="3"/>
      <c r="I374" s="3"/>
      <c r="J374" s="3"/>
    </row>
    <row r="375" ht="12.5" spans="6:10">
      <c r="F375" s="3"/>
      <c r="G375" s="3"/>
      <c r="H375" s="3"/>
      <c r="I375" s="3"/>
      <c r="J375" s="3"/>
    </row>
    <row r="376" ht="12.5" spans="6:10">
      <c r="F376" s="3"/>
      <c r="G376" s="3"/>
      <c r="H376" s="3"/>
      <c r="I376" s="3"/>
      <c r="J376" s="3"/>
    </row>
    <row r="377" ht="12.5" spans="6:10">
      <c r="F377" s="3"/>
      <c r="G377" s="3"/>
      <c r="H377" s="3"/>
      <c r="I377" s="3"/>
      <c r="J377" s="3"/>
    </row>
    <row r="378" ht="12.5" spans="6:10">
      <c r="F378" s="3"/>
      <c r="G378" s="3"/>
      <c r="H378" s="3"/>
      <c r="I378" s="3"/>
      <c r="J378" s="3"/>
    </row>
    <row r="379" ht="12.5" spans="6:10">
      <c r="F379" s="3"/>
      <c r="G379" s="3"/>
      <c r="H379" s="3"/>
      <c r="I379" s="3"/>
      <c r="J379" s="3"/>
    </row>
    <row r="380" ht="12.5" spans="6:10">
      <c r="F380" s="3"/>
      <c r="G380" s="3"/>
      <c r="H380" s="3"/>
      <c r="I380" s="3"/>
      <c r="J380" s="3"/>
    </row>
    <row r="381" ht="12.5" spans="6:10">
      <c r="F381" s="3"/>
      <c r="G381" s="3"/>
      <c r="H381" s="3"/>
      <c r="I381" s="3"/>
      <c r="J381" s="3"/>
    </row>
    <row r="382" ht="12.5" spans="6:10">
      <c r="F382" s="3"/>
      <c r="G382" s="3"/>
      <c r="H382" s="3"/>
      <c r="I382" s="3"/>
      <c r="J382" s="3"/>
    </row>
    <row r="383" ht="12.5" spans="6:10">
      <c r="F383" s="3"/>
      <c r="G383" s="3"/>
      <c r="H383" s="3"/>
      <c r="I383" s="3"/>
      <c r="J383" s="3"/>
    </row>
    <row r="384" ht="12.5" spans="6:10">
      <c r="F384" s="3"/>
      <c r="G384" s="3"/>
      <c r="H384" s="3"/>
      <c r="I384" s="3"/>
      <c r="J384" s="3"/>
    </row>
    <row r="385" ht="12.5" spans="6:10">
      <c r="F385" s="3"/>
      <c r="G385" s="3"/>
      <c r="H385" s="3"/>
      <c r="I385" s="3"/>
      <c r="J385" s="3"/>
    </row>
    <row r="386" ht="12.5" spans="6:10">
      <c r="F386" s="3"/>
      <c r="G386" s="3"/>
      <c r="H386" s="3"/>
      <c r="I386" s="3"/>
      <c r="J386" s="3"/>
    </row>
    <row r="387" ht="12.5" spans="6:10">
      <c r="F387" s="3"/>
      <c r="G387" s="3"/>
      <c r="H387" s="3"/>
      <c r="I387" s="3"/>
      <c r="J387" s="3"/>
    </row>
    <row r="388" ht="12.5" spans="6:10">
      <c r="F388" s="3"/>
      <c r="G388" s="3"/>
      <c r="H388" s="3"/>
      <c r="I388" s="3"/>
      <c r="J388" s="3"/>
    </row>
    <row r="389" ht="12.5" spans="6:10">
      <c r="F389" s="3"/>
      <c r="G389" s="3"/>
      <c r="H389" s="3"/>
      <c r="I389" s="3"/>
      <c r="J389" s="3"/>
    </row>
    <row r="390" ht="12.5" spans="6:10">
      <c r="F390" s="3"/>
      <c r="G390" s="3"/>
      <c r="H390" s="3"/>
      <c r="I390" s="3"/>
      <c r="J390" s="3"/>
    </row>
    <row r="391" ht="12.5" spans="6:10">
      <c r="F391" s="3"/>
      <c r="G391" s="3"/>
      <c r="H391" s="3"/>
      <c r="I391" s="3"/>
      <c r="J391" s="3"/>
    </row>
    <row r="392" ht="12.5" spans="6:10">
      <c r="F392" s="3"/>
      <c r="G392" s="3"/>
      <c r="H392" s="3"/>
      <c r="I392" s="3"/>
      <c r="J392" s="3"/>
    </row>
    <row r="393" ht="12.5" spans="6:10">
      <c r="F393" s="3"/>
      <c r="G393" s="3"/>
      <c r="H393" s="3"/>
      <c r="I393" s="3"/>
      <c r="J393" s="3"/>
    </row>
    <row r="394" ht="12.5" spans="6:10">
      <c r="F394" s="3"/>
      <c r="G394" s="3"/>
      <c r="H394" s="3"/>
      <c r="I394" s="3"/>
      <c r="J394" s="3"/>
    </row>
    <row r="395" ht="12.5" spans="6:10">
      <c r="F395" s="3"/>
      <c r="G395" s="3"/>
      <c r="H395" s="3"/>
      <c r="I395" s="3"/>
      <c r="J395" s="3"/>
    </row>
    <row r="396" ht="12.5" spans="6:10">
      <c r="F396" s="3"/>
      <c r="G396" s="3"/>
      <c r="H396" s="3"/>
      <c r="I396" s="3"/>
      <c r="J396" s="3"/>
    </row>
    <row r="397" ht="12.5" spans="6:10">
      <c r="F397" s="3"/>
      <c r="G397" s="3"/>
      <c r="H397" s="3"/>
      <c r="I397" s="3"/>
      <c r="J397" s="3"/>
    </row>
    <row r="398" ht="12.5" spans="6:10">
      <c r="F398" s="3"/>
      <c r="G398" s="3"/>
      <c r="H398" s="3"/>
      <c r="I398" s="3"/>
      <c r="J398" s="3"/>
    </row>
    <row r="399" ht="12.5" spans="6:10">
      <c r="F399" s="3"/>
      <c r="G399" s="3"/>
      <c r="H399" s="3"/>
      <c r="I399" s="3"/>
      <c r="J399" s="3"/>
    </row>
    <row r="400" ht="12.5" spans="6:10">
      <c r="F400" s="3"/>
      <c r="G400" s="3"/>
      <c r="H400" s="3"/>
      <c r="I400" s="3"/>
      <c r="J400" s="3"/>
    </row>
    <row r="401" ht="12.5" spans="6:10">
      <c r="F401" s="3"/>
      <c r="G401" s="3"/>
      <c r="H401" s="3"/>
      <c r="I401" s="3"/>
      <c r="J401" s="3"/>
    </row>
    <row r="402" ht="12.5" spans="6:10">
      <c r="F402" s="3"/>
      <c r="G402" s="3"/>
      <c r="H402" s="3"/>
      <c r="I402" s="3"/>
      <c r="J402" s="3"/>
    </row>
    <row r="403" ht="12.5" spans="6:10">
      <c r="F403" s="3"/>
      <c r="G403" s="3"/>
      <c r="H403" s="3"/>
      <c r="I403" s="3"/>
      <c r="J403" s="3"/>
    </row>
    <row r="404" ht="12.5" spans="6:10">
      <c r="F404" s="3"/>
      <c r="G404" s="3"/>
      <c r="H404" s="3"/>
      <c r="I404" s="3"/>
      <c r="J404" s="3"/>
    </row>
    <row r="405" ht="12.5" spans="6:10">
      <c r="F405" s="3"/>
      <c r="G405" s="3"/>
      <c r="H405" s="3"/>
      <c r="I405" s="3"/>
      <c r="J405" s="3"/>
    </row>
    <row r="406" ht="12.5" spans="6:10">
      <c r="F406" s="3"/>
      <c r="G406" s="3"/>
      <c r="H406" s="3"/>
      <c r="I406" s="3"/>
      <c r="J406" s="3"/>
    </row>
    <row r="407" ht="12.5" spans="6:10">
      <c r="F407" s="3"/>
      <c r="G407" s="3"/>
      <c r="H407" s="3"/>
      <c r="I407" s="3"/>
      <c r="J407" s="3"/>
    </row>
    <row r="408" ht="12.5" spans="6:10">
      <c r="F408" s="3"/>
      <c r="G408" s="3"/>
      <c r="H408" s="3"/>
      <c r="I408" s="3"/>
      <c r="J408" s="3"/>
    </row>
    <row r="409" ht="12.5" spans="6:10">
      <c r="F409" s="3"/>
      <c r="G409" s="3"/>
      <c r="H409" s="3"/>
      <c r="I409" s="3"/>
      <c r="J409" s="3"/>
    </row>
    <row r="410" ht="12.5" spans="6:10">
      <c r="F410" s="3"/>
      <c r="G410" s="3"/>
      <c r="H410" s="3"/>
      <c r="I410" s="3"/>
      <c r="J410" s="3"/>
    </row>
    <row r="411" ht="12.5" spans="6:10">
      <c r="F411" s="3"/>
      <c r="G411" s="3"/>
      <c r="H411" s="3"/>
      <c r="I411" s="3"/>
      <c r="J411" s="3"/>
    </row>
    <row r="412" ht="12.5" spans="6:10">
      <c r="F412" s="3"/>
      <c r="G412" s="3"/>
      <c r="H412" s="3"/>
      <c r="I412" s="3"/>
      <c r="J412" s="3"/>
    </row>
    <row r="413" ht="12.5" spans="6:10">
      <c r="F413" s="3"/>
      <c r="G413" s="3"/>
      <c r="H413" s="3"/>
      <c r="I413" s="3"/>
      <c r="J413" s="3"/>
    </row>
    <row r="414" ht="12.5" spans="6:10">
      <c r="F414" s="3"/>
      <c r="G414" s="3"/>
      <c r="H414" s="3"/>
      <c r="I414" s="3"/>
      <c r="J414" s="3"/>
    </row>
    <row r="415" ht="12.5" spans="6:10">
      <c r="F415" s="3"/>
      <c r="G415" s="3"/>
      <c r="H415" s="3"/>
      <c r="I415" s="3"/>
      <c r="J415" s="3"/>
    </row>
    <row r="416" ht="12.5" spans="6:10">
      <c r="F416" s="3"/>
      <c r="G416" s="3"/>
      <c r="H416" s="3"/>
      <c r="I416" s="3"/>
      <c r="J416" s="3"/>
    </row>
    <row r="417" ht="12.5" spans="6:10">
      <c r="F417" s="3"/>
      <c r="G417" s="3"/>
      <c r="H417" s="3"/>
      <c r="I417" s="3"/>
      <c r="J417" s="3"/>
    </row>
    <row r="418" ht="12.5" spans="6:10">
      <c r="F418" s="3"/>
      <c r="G418" s="3"/>
      <c r="H418" s="3"/>
      <c r="I418" s="3"/>
      <c r="J418" s="3"/>
    </row>
    <row r="419" ht="12.5" spans="6:10">
      <c r="F419" s="3"/>
      <c r="G419" s="3"/>
      <c r="H419" s="3"/>
      <c r="I419" s="3"/>
      <c r="J419" s="3"/>
    </row>
    <row r="420" ht="12.5" spans="6:10">
      <c r="F420" s="3"/>
      <c r="G420" s="3"/>
      <c r="H420" s="3"/>
      <c r="I420" s="3"/>
      <c r="J420" s="3"/>
    </row>
    <row r="421" ht="12.5" spans="6:10">
      <c r="F421" s="3"/>
      <c r="G421" s="3"/>
      <c r="H421" s="3"/>
      <c r="I421" s="3"/>
      <c r="J421" s="3"/>
    </row>
    <row r="422" ht="12.5" spans="6:10">
      <c r="F422" s="3"/>
      <c r="G422" s="3"/>
      <c r="H422" s="3"/>
      <c r="I422" s="3"/>
      <c r="J422" s="3"/>
    </row>
    <row r="423" ht="12.5" spans="6:10">
      <c r="F423" s="3"/>
      <c r="G423" s="3"/>
      <c r="H423" s="3"/>
      <c r="I423" s="3"/>
      <c r="J423" s="3"/>
    </row>
    <row r="424" ht="12.5" spans="6:10">
      <c r="F424" s="3"/>
      <c r="G424" s="3"/>
      <c r="H424" s="3"/>
      <c r="I424" s="3"/>
      <c r="J424" s="3"/>
    </row>
    <row r="425" ht="12.5" spans="6:10">
      <c r="F425" s="3"/>
      <c r="G425" s="3"/>
      <c r="H425" s="3"/>
      <c r="I425" s="3"/>
      <c r="J425" s="3"/>
    </row>
    <row r="426" ht="12.5" spans="6:10">
      <c r="F426" s="3"/>
      <c r="G426" s="3"/>
      <c r="H426" s="3"/>
      <c r="I426" s="3"/>
      <c r="J426" s="3"/>
    </row>
    <row r="427" ht="12.5" spans="6:10">
      <c r="F427" s="3"/>
      <c r="G427" s="3"/>
      <c r="H427" s="3"/>
      <c r="I427" s="3"/>
      <c r="J427" s="3"/>
    </row>
    <row r="428" ht="12.5" spans="6:10">
      <c r="F428" s="3"/>
      <c r="G428" s="3"/>
      <c r="H428" s="3"/>
      <c r="I428" s="3"/>
      <c r="J428" s="3"/>
    </row>
    <row r="429" ht="12.5" spans="6:10">
      <c r="F429" s="3"/>
      <c r="G429" s="3"/>
      <c r="H429" s="3"/>
      <c r="I429" s="3"/>
      <c r="J429" s="3"/>
    </row>
    <row r="430" ht="12.5" spans="6:10">
      <c r="F430" s="3"/>
      <c r="G430" s="3"/>
      <c r="H430" s="3"/>
      <c r="I430" s="3"/>
      <c r="J430" s="3"/>
    </row>
    <row r="431" ht="12.5" spans="6:10">
      <c r="F431" s="3"/>
      <c r="G431" s="3"/>
      <c r="H431" s="3"/>
      <c r="I431" s="3"/>
      <c r="J431" s="3"/>
    </row>
    <row r="432" ht="12.5" spans="6:10">
      <c r="F432" s="3"/>
      <c r="G432" s="3"/>
      <c r="H432" s="3"/>
      <c r="I432" s="3"/>
      <c r="J432" s="3"/>
    </row>
    <row r="433" ht="12.5" spans="6:10">
      <c r="F433" s="3"/>
      <c r="G433" s="3"/>
      <c r="H433" s="3"/>
      <c r="I433" s="3"/>
      <c r="J433" s="3"/>
    </row>
    <row r="434" ht="12.5" spans="6:10">
      <c r="F434" s="3"/>
      <c r="G434" s="3"/>
      <c r="H434" s="3"/>
      <c r="I434" s="3"/>
      <c r="J434" s="3"/>
    </row>
    <row r="435" ht="12.5" spans="6:10">
      <c r="F435" s="3"/>
      <c r="G435" s="3"/>
      <c r="H435" s="3"/>
      <c r="I435" s="3"/>
      <c r="J435" s="3"/>
    </row>
    <row r="436" ht="12.5" spans="6:10">
      <c r="F436" s="3"/>
      <c r="G436" s="3"/>
      <c r="H436" s="3"/>
      <c r="I436" s="3"/>
      <c r="J436" s="3"/>
    </row>
    <row r="437" ht="12.5" spans="6:10">
      <c r="F437" s="3"/>
      <c r="G437" s="3"/>
      <c r="H437" s="3"/>
      <c r="I437" s="3"/>
      <c r="J437" s="3"/>
    </row>
    <row r="438" ht="12.5" spans="6:10">
      <c r="F438" s="3"/>
      <c r="G438" s="3"/>
      <c r="H438" s="3"/>
      <c r="I438" s="3"/>
      <c r="J438" s="3"/>
    </row>
    <row r="439" ht="12.5" spans="6:10">
      <c r="F439" s="3"/>
      <c r="G439" s="3"/>
      <c r="H439" s="3"/>
      <c r="I439" s="3"/>
      <c r="J439" s="3"/>
    </row>
    <row r="440" ht="12.5" spans="6:10">
      <c r="F440" s="3"/>
      <c r="G440" s="3"/>
      <c r="H440" s="3"/>
      <c r="I440" s="3"/>
      <c r="J440" s="3"/>
    </row>
    <row r="441" ht="12.5" spans="6:10">
      <c r="F441" s="3"/>
      <c r="G441" s="3"/>
      <c r="H441" s="3"/>
      <c r="I441" s="3"/>
      <c r="J441" s="3"/>
    </row>
    <row r="442" ht="12.5" spans="6:10">
      <c r="F442" s="3"/>
      <c r="G442" s="3"/>
      <c r="H442" s="3"/>
      <c r="I442" s="3"/>
      <c r="J442" s="3"/>
    </row>
    <row r="443" ht="12.5" spans="6:10">
      <c r="F443" s="3"/>
      <c r="G443" s="3"/>
      <c r="H443" s="3"/>
      <c r="I443" s="3"/>
      <c r="J443" s="3"/>
    </row>
    <row r="444" ht="12.5" spans="6:10">
      <c r="F444" s="3"/>
      <c r="G444" s="3"/>
      <c r="H444" s="3"/>
      <c r="I444" s="3"/>
      <c r="J444" s="3"/>
    </row>
    <row r="445" ht="12.5" spans="6:10">
      <c r="F445" s="3"/>
      <c r="G445" s="3"/>
      <c r="H445" s="3"/>
      <c r="I445" s="3"/>
      <c r="J445" s="3"/>
    </row>
    <row r="446" ht="12.5" spans="6:10">
      <c r="F446" s="3"/>
      <c r="G446" s="3"/>
      <c r="H446" s="3"/>
      <c r="I446" s="3"/>
      <c r="J446" s="3"/>
    </row>
    <row r="447" ht="12.5" spans="6:10">
      <c r="F447" s="3"/>
      <c r="G447" s="3"/>
      <c r="H447" s="3"/>
      <c r="I447" s="3"/>
      <c r="J447" s="3"/>
    </row>
    <row r="448" ht="12.5" spans="6:10">
      <c r="F448" s="3"/>
      <c r="G448" s="3"/>
      <c r="H448" s="3"/>
      <c r="I448" s="3"/>
      <c r="J448" s="3"/>
    </row>
    <row r="449" ht="12.5" spans="6:10">
      <c r="F449" s="3"/>
      <c r="G449" s="3"/>
      <c r="H449" s="3"/>
      <c r="I449" s="3"/>
      <c r="J449" s="3"/>
    </row>
    <row r="450" ht="12.5" spans="6:10">
      <c r="F450" s="3"/>
      <c r="G450" s="3"/>
      <c r="H450" s="3"/>
      <c r="I450" s="3"/>
      <c r="J450" s="3"/>
    </row>
    <row r="451" ht="12.5" spans="6:10">
      <c r="F451" s="3"/>
      <c r="G451" s="3"/>
      <c r="H451" s="3"/>
      <c r="I451" s="3"/>
      <c r="J451" s="3"/>
    </row>
    <row r="452" ht="12.5" spans="6:10">
      <c r="F452" s="3"/>
      <c r="G452" s="3"/>
      <c r="H452" s="3"/>
      <c r="I452" s="3"/>
      <c r="J452" s="3"/>
    </row>
    <row r="453" ht="12.5" spans="6:10">
      <c r="F453" s="3"/>
      <c r="G453" s="3"/>
      <c r="H453" s="3"/>
      <c r="I453" s="3"/>
      <c r="J453" s="3"/>
    </row>
    <row r="454" ht="12.5" spans="6:10">
      <c r="F454" s="3"/>
      <c r="G454" s="3"/>
      <c r="H454" s="3"/>
      <c r="I454" s="3"/>
      <c r="J454" s="3"/>
    </row>
    <row r="455" ht="12.5" spans="6:10">
      <c r="F455" s="3"/>
      <c r="G455" s="3"/>
      <c r="H455" s="3"/>
      <c r="I455" s="3"/>
      <c r="J455" s="3"/>
    </row>
    <row r="456" ht="12.5" spans="6:10">
      <c r="F456" s="3"/>
      <c r="G456" s="3"/>
      <c r="H456" s="3"/>
      <c r="I456" s="3"/>
      <c r="J456" s="3"/>
    </row>
    <row r="457" ht="12.5" spans="6:10">
      <c r="F457" s="3"/>
      <c r="G457" s="3"/>
      <c r="H457" s="3"/>
      <c r="I457" s="3"/>
      <c r="J457" s="3"/>
    </row>
    <row r="458" ht="12.5" spans="6:10">
      <c r="F458" s="3"/>
      <c r="G458" s="3"/>
      <c r="H458" s="3"/>
      <c r="I458" s="3"/>
      <c r="J458" s="3"/>
    </row>
    <row r="459" ht="12.5" spans="6:10">
      <c r="F459" s="3"/>
      <c r="G459" s="3"/>
      <c r="H459" s="3"/>
      <c r="I459" s="3"/>
      <c r="J459" s="3"/>
    </row>
    <row r="460" ht="12.5" spans="6:10">
      <c r="F460" s="3"/>
      <c r="G460" s="3"/>
      <c r="H460" s="3"/>
      <c r="I460" s="3"/>
      <c r="J460" s="3"/>
    </row>
    <row r="461" ht="12.5" spans="6:10">
      <c r="F461" s="3"/>
      <c r="G461" s="3"/>
      <c r="H461" s="3"/>
      <c r="I461" s="3"/>
      <c r="J461" s="3"/>
    </row>
    <row r="462" ht="12.5" spans="6:10">
      <c r="F462" s="3"/>
      <c r="G462" s="3"/>
      <c r="H462" s="3"/>
      <c r="I462" s="3"/>
      <c r="J462" s="3"/>
    </row>
    <row r="463" ht="12.5" spans="6:10">
      <c r="F463" s="3"/>
      <c r="G463" s="3"/>
      <c r="H463" s="3"/>
      <c r="I463" s="3"/>
      <c r="J463" s="3"/>
    </row>
    <row r="464" ht="12.5" spans="6:10">
      <c r="F464" s="3"/>
      <c r="G464" s="3"/>
      <c r="H464" s="3"/>
      <c r="I464" s="3"/>
      <c r="J464" s="3"/>
    </row>
    <row r="465" ht="12.5" spans="6:10">
      <c r="F465" s="3"/>
      <c r="G465" s="3"/>
      <c r="H465" s="3"/>
      <c r="I465" s="3"/>
      <c r="J465" s="3"/>
    </row>
    <row r="466" ht="12.5" spans="6:10">
      <c r="F466" s="3"/>
      <c r="G466" s="3"/>
      <c r="H466" s="3"/>
      <c r="I466" s="3"/>
      <c r="J466" s="3"/>
    </row>
    <row r="467" ht="12.5" spans="6:10">
      <c r="F467" s="3"/>
      <c r="G467" s="3"/>
      <c r="H467" s="3"/>
      <c r="I467" s="3"/>
      <c r="J467" s="3"/>
    </row>
    <row r="468" ht="12.5" spans="6:10">
      <c r="F468" s="3"/>
      <c r="G468" s="3"/>
      <c r="H468" s="3"/>
      <c r="I468" s="3"/>
      <c r="J468" s="3"/>
    </row>
    <row r="469" ht="12.5" spans="6:10">
      <c r="F469" s="3"/>
      <c r="G469" s="3"/>
      <c r="H469" s="3"/>
      <c r="I469" s="3"/>
      <c r="J469" s="3"/>
    </row>
    <row r="470" ht="12.5" spans="6:10">
      <c r="F470" s="3"/>
      <c r="G470" s="3"/>
      <c r="H470" s="3"/>
      <c r="I470" s="3"/>
      <c r="J470" s="3"/>
    </row>
    <row r="471" ht="12.5" spans="6:10">
      <c r="F471" s="3"/>
      <c r="G471" s="3"/>
      <c r="H471" s="3"/>
      <c r="I471" s="3"/>
      <c r="J471" s="3"/>
    </row>
    <row r="472" ht="12.5" spans="6:10">
      <c r="F472" s="3"/>
      <c r="G472" s="3"/>
      <c r="H472" s="3"/>
      <c r="I472" s="3"/>
      <c r="J472" s="3"/>
    </row>
    <row r="473" ht="12.5" spans="6:10">
      <c r="F473" s="3"/>
      <c r="G473" s="3"/>
      <c r="H473" s="3"/>
      <c r="I473" s="3"/>
      <c r="J473" s="3"/>
    </row>
    <row r="474" ht="12.5" spans="6:10">
      <c r="F474" s="3"/>
      <c r="G474" s="3"/>
      <c r="H474" s="3"/>
      <c r="I474" s="3"/>
      <c r="J474" s="3"/>
    </row>
    <row r="475" ht="12.5" spans="6:10">
      <c r="F475" s="3"/>
      <c r="G475" s="3"/>
      <c r="H475" s="3"/>
      <c r="I475" s="3"/>
      <c r="J475" s="3"/>
    </row>
    <row r="476" ht="12.5" spans="6:10">
      <c r="F476" s="3"/>
      <c r="G476" s="3"/>
      <c r="H476" s="3"/>
      <c r="I476" s="3"/>
      <c r="J476" s="3"/>
    </row>
    <row r="477" ht="12.5" spans="6:10">
      <c r="F477" s="3"/>
      <c r="G477" s="3"/>
      <c r="H477" s="3"/>
      <c r="I477" s="3"/>
      <c r="J477" s="3"/>
    </row>
    <row r="478" ht="12.5" spans="6:10">
      <c r="F478" s="3"/>
      <c r="G478" s="3"/>
      <c r="H478" s="3"/>
      <c r="I478" s="3"/>
      <c r="J478" s="3"/>
    </row>
    <row r="479" ht="12.5" spans="6:10">
      <c r="F479" s="3"/>
      <c r="G479" s="3"/>
      <c r="H479" s="3"/>
      <c r="I479" s="3"/>
      <c r="J479" s="3"/>
    </row>
    <row r="480" ht="12.5" spans="6:10">
      <c r="F480" s="3"/>
      <c r="G480" s="3"/>
      <c r="H480" s="3"/>
      <c r="I480" s="3"/>
      <c r="J480" s="3"/>
    </row>
    <row r="481" ht="12.5" spans="6:10">
      <c r="F481" s="3"/>
      <c r="G481" s="3"/>
      <c r="H481" s="3"/>
      <c r="I481" s="3"/>
      <c r="J481" s="3"/>
    </row>
    <row r="482" ht="12.5" spans="6:10">
      <c r="F482" s="3"/>
      <c r="G482" s="3"/>
      <c r="H482" s="3"/>
      <c r="I482" s="3"/>
      <c r="J482" s="3"/>
    </row>
    <row r="483" ht="12.5" spans="6:10">
      <c r="F483" s="3"/>
      <c r="G483" s="3"/>
      <c r="H483" s="3"/>
      <c r="I483" s="3"/>
      <c r="J483" s="3"/>
    </row>
    <row r="484" ht="12.5" spans="6:10">
      <c r="F484" s="3"/>
      <c r="G484" s="3"/>
      <c r="H484" s="3"/>
      <c r="I484" s="3"/>
      <c r="J484" s="3"/>
    </row>
    <row r="485" ht="12.5" spans="6:10">
      <c r="F485" s="3"/>
      <c r="G485" s="3"/>
      <c r="H485" s="3"/>
      <c r="I485" s="3"/>
      <c r="J485" s="3"/>
    </row>
    <row r="486" ht="12.5" spans="6:10">
      <c r="F486" s="3"/>
      <c r="G486" s="3"/>
      <c r="H486" s="3"/>
      <c r="I486" s="3"/>
      <c r="J486" s="3"/>
    </row>
    <row r="487" ht="12.5" spans="6:10">
      <c r="F487" s="3"/>
      <c r="G487" s="3"/>
      <c r="H487" s="3"/>
      <c r="I487" s="3"/>
      <c r="J487" s="3"/>
    </row>
    <row r="488" ht="12.5" spans="6:10">
      <c r="F488" s="3"/>
      <c r="G488" s="3"/>
      <c r="H488" s="3"/>
      <c r="I488" s="3"/>
      <c r="J488" s="3"/>
    </row>
    <row r="489" ht="12.5" spans="6:10">
      <c r="F489" s="3"/>
      <c r="G489" s="3"/>
      <c r="H489" s="3"/>
      <c r="I489" s="3"/>
      <c r="J489" s="3"/>
    </row>
    <row r="490" ht="12.5" spans="6:10">
      <c r="F490" s="3"/>
      <c r="G490" s="3"/>
      <c r="H490" s="3"/>
      <c r="I490" s="3"/>
      <c r="J490" s="3"/>
    </row>
    <row r="491" ht="12.5" spans="6:10">
      <c r="F491" s="3"/>
      <c r="G491" s="3"/>
      <c r="H491" s="3"/>
      <c r="I491" s="3"/>
      <c r="J491" s="3"/>
    </row>
    <row r="492" ht="12.5" spans="6:10">
      <c r="F492" s="3"/>
      <c r="G492" s="3"/>
      <c r="H492" s="3"/>
      <c r="I492" s="3"/>
      <c r="J492" s="3"/>
    </row>
    <row r="493" ht="12.5" spans="6:10">
      <c r="F493" s="3"/>
      <c r="G493" s="3"/>
      <c r="H493" s="3"/>
      <c r="I493" s="3"/>
      <c r="J493" s="3"/>
    </row>
    <row r="494" ht="12.5" spans="6:10">
      <c r="F494" s="3"/>
      <c r="G494" s="3"/>
      <c r="H494" s="3"/>
      <c r="I494" s="3"/>
      <c r="J494" s="3"/>
    </row>
    <row r="495" ht="12.5" spans="6:10">
      <c r="F495" s="3"/>
      <c r="G495" s="3"/>
      <c r="H495" s="3"/>
      <c r="I495" s="3"/>
      <c r="J495" s="3"/>
    </row>
    <row r="496" ht="12.5" spans="6:10">
      <c r="F496" s="3"/>
      <c r="G496" s="3"/>
      <c r="H496" s="3"/>
      <c r="I496" s="3"/>
      <c r="J496" s="3"/>
    </row>
    <row r="497" ht="12.5" spans="6:10">
      <c r="F497" s="3"/>
      <c r="G497" s="3"/>
      <c r="H497" s="3"/>
      <c r="I497" s="3"/>
      <c r="J497" s="3"/>
    </row>
    <row r="498" ht="12.5" spans="6:10">
      <c r="F498" s="3"/>
      <c r="G498" s="3"/>
      <c r="H498" s="3"/>
      <c r="I498" s="3"/>
      <c r="J498" s="3"/>
    </row>
    <row r="499" ht="12.5" spans="6:10">
      <c r="F499" s="3"/>
      <c r="G499" s="3"/>
      <c r="H499" s="3"/>
      <c r="I499" s="3"/>
      <c r="J499" s="3"/>
    </row>
    <row r="500" ht="12.5" spans="6:10">
      <c r="F500" s="3"/>
      <c r="G500" s="3"/>
      <c r="H500" s="3"/>
      <c r="I500" s="3"/>
      <c r="J500" s="3"/>
    </row>
    <row r="501" ht="12.5" spans="6:10">
      <c r="F501" s="3"/>
      <c r="G501" s="3"/>
      <c r="H501" s="3"/>
      <c r="I501" s="3"/>
      <c r="J501" s="3"/>
    </row>
    <row r="502" ht="12.5" spans="6:10">
      <c r="F502" s="3"/>
      <c r="G502" s="3"/>
      <c r="H502" s="3"/>
      <c r="I502" s="3"/>
      <c r="J502" s="3"/>
    </row>
    <row r="503" ht="12.5" spans="6:10">
      <c r="F503" s="3"/>
      <c r="G503" s="3"/>
      <c r="H503" s="3"/>
      <c r="I503" s="3"/>
      <c r="J503" s="3"/>
    </row>
    <row r="504" ht="12.5" spans="6:10">
      <c r="F504" s="3"/>
      <c r="G504" s="3"/>
      <c r="H504" s="3"/>
      <c r="I504" s="3"/>
      <c r="J504" s="3"/>
    </row>
    <row r="505" ht="12.5" spans="6:10">
      <c r="F505" s="3"/>
      <c r="G505" s="3"/>
      <c r="H505" s="3"/>
      <c r="I505" s="3"/>
      <c r="J505" s="3"/>
    </row>
    <row r="506" ht="12.5" spans="6:10">
      <c r="F506" s="3"/>
      <c r="G506" s="3"/>
      <c r="H506" s="3"/>
      <c r="I506" s="3"/>
      <c r="J506" s="3"/>
    </row>
    <row r="507" ht="12.5" spans="6:10">
      <c r="F507" s="3"/>
      <c r="G507" s="3"/>
      <c r="H507" s="3"/>
      <c r="I507" s="3"/>
      <c r="J507" s="3"/>
    </row>
    <row r="508" ht="12.5" spans="6:10">
      <c r="F508" s="3"/>
      <c r="G508" s="3"/>
      <c r="H508" s="3"/>
      <c r="I508" s="3"/>
      <c r="J508" s="3"/>
    </row>
    <row r="509" ht="12.5" spans="6:10">
      <c r="F509" s="3"/>
      <c r="G509" s="3"/>
      <c r="H509" s="3"/>
      <c r="I509" s="3"/>
      <c r="J509" s="3"/>
    </row>
    <row r="510" ht="12.5" spans="6:10">
      <c r="F510" s="3"/>
      <c r="G510" s="3"/>
      <c r="H510" s="3"/>
      <c r="I510" s="3"/>
      <c r="J510" s="3"/>
    </row>
    <row r="511" ht="12.5" spans="6:10">
      <c r="F511" s="3"/>
      <c r="G511" s="3"/>
      <c r="H511" s="3"/>
      <c r="I511" s="3"/>
      <c r="J511" s="3"/>
    </row>
    <row r="512" ht="12.5" spans="6:10">
      <c r="F512" s="3"/>
      <c r="G512" s="3"/>
      <c r="H512" s="3"/>
      <c r="I512" s="3"/>
      <c r="J512" s="3"/>
    </row>
    <row r="513" ht="12.5" spans="6:10">
      <c r="F513" s="3"/>
      <c r="G513" s="3"/>
      <c r="H513" s="3"/>
      <c r="I513" s="3"/>
      <c r="J513" s="3"/>
    </row>
    <row r="514" ht="12.5" spans="6:10">
      <c r="F514" s="3"/>
      <c r="G514" s="3"/>
      <c r="H514" s="3"/>
      <c r="I514" s="3"/>
      <c r="J514" s="3"/>
    </row>
    <row r="515" ht="12.5" spans="6:10">
      <c r="F515" s="3"/>
      <c r="G515" s="3"/>
      <c r="H515" s="3"/>
      <c r="I515" s="3"/>
      <c r="J515" s="3"/>
    </row>
    <row r="516" ht="12.5" spans="6:10">
      <c r="F516" s="3"/>
      <c r="G516" s="3"/>
      <c r="H516" s="3"/>
      <c r="I516" s="3"/>
      <c r="J516" s="3"/>
    </row>
    <row r="517" ht="12.5" spans="6:10">
      <c r="F517" s="3"/>
      <c r="G517" s="3"/>
      <c r="H517" s="3"/>
      <c r="I517" s="3"/>
      <c r="J517" s="3"/>
    </row>
    <row r="518" ht="12.5" spans="6:10">
      <c r="F518" s="3"/>
      <c r="G518" s="3"/>
      <c r="H518" s="3"/>
      <c r="I518" s="3"/>
      <c r="J518" s="3"/>
    </row>
    <row r="519" ht="12.5" spans="6:10">
      <c r="F519" s="3"/>
      <c r="G519" s="3"/>
      <c r="H519" s="3"/>
      <c r="I519" s="3"/>
      <c r="J519" s="3"/>
    </row>
    <row r="520" ht="12.5" spans="6:10">
      <c r="F520" s="3"/>
      <c r="G520" s="3"/>
      <c r="H520" s="3"/>
      <c r="I520" s="3"/>
      <c r="J520" s="3"/>
    </row>
    <row r="521" ht="12.5" spans="6:10">
      <c r="F521" s="3"/>
      <c r="G521" s="3"/>
      <c r="H521" s="3"/>
      <c r="I521" s="3"/>
      <c r="J521" s="3"/>
    </row>
    <row r="522" ht="12.5" spans="6:10">
      <c r="F522" s="3"/>
      <c r="G522" s="3"/>
      <c r="H522" s="3"/>
      <c r="I522" s="3"/>
      <c r="J522" s="3"/>
    </row>
    <row r="523" ht="12.5" spans="6:10">
      <c r="F523" s="3"/>
      <c r="G523" s="3"/>
      <c r="H523" s="3"/>
      <c r="I523" s="3"/>
      <c r="J523" s="3"/>
    </row>
    <row r="524" ht="12.5" spans="6:10">
      <c r="F524" s="3"/>
      <c r="G524" s="3"/>
      <c r="H524" s="3"/>
      <c r="I524" s="3"/>
      <c r="J524" s="3"/>
    </row>
    <row r="525" ht="12.5" spans="6:10">
      <c r="F525" s="3"/>
      <c r="G525" s="3"/>
      <c r="H525" s="3"/>
      <c r="I525" s="3"/>
      <c r="J525" s="3"/>
    </row>
    <row r="526" ht="12.5" spans="6:10">
      <c r="F526" s="3"/>
      <c r="G526" s="3"/>
      <c r="H526" s="3"/>
      <c r="I526" s="3"/>
      <c r="J526" s="3"/>
    </row>
    <row r="527" ht="12.5" spans="6:10">
      <c r="F527" s="3"/>
      <c r="G527" s="3"/>
      <c r="H527" s="3"/>
      <c r="I527" s="3"/>
      <c r="J527" s="3"/>
    </row>
    <row r="528" ht="12.5" spans="6:10">
      <c r="F528" s="3"/>
      <c r="G528" s="3"/>
      <c r="H528" s="3"/>
      <c r="I528" s="3"/>
      <c r="J528" s="3"/>
    </row>
    <row r="529" ht="12.5" spans="6:10">
      <c r="F529" s="3"/>
      <c r="G529" s="3"/>
      <c r="H529" s="3"/>
      <c r="I529" s="3"/>
      <c r="J529" s="3"/>
    </row>
    <row r="530" ht="12.5" spans="6:10">
      <c r="F530" s="3"/>
      <c r="G530" s="3"/>
      <c r="H530" s="3"/>
      <c r="I530" s="3"/>
      <c r="J530" s="3"/>
    </row>
    <row r="531" ht="12.5" spans="6:10">
      <c r="F531" s="3"/>
      <c r="G531" s="3"/>
      <c r="H531" s="3"/>
      <c r="I531" s="3"/>
      <c r="J531" s="3"/>
    </row>
    <row r="532" ht="12.5" spans="6:10">
      <c r="F532" s="3"/>
      <c r="G532" s="3"/>
      <c r="H532" s="3"/>
      <c r="I532" s="3"/>
      <c r="J532" s="3"/>
    </row>
    <row r="533" ht="12.5" spans="6:10">
      <c r="F533" s="3"/>
      <c r="G533" s="3"/>
      <c r="H533" s="3"/>
      <c r="I533" s="3"/>
      <c r="J533" s="3"/>
    </row>
    <row r="534" ht="12.5" spans="6:10">
      <c r="F534" s="3"/>
      <c r="G534" s="3"/>
      <c r="H534" s="3"/>
      <c r="I534" s="3"/>
      <c r="J534" s="3"/>
    </row>
    <row r="535" ht="12.5" spans="6:10">
      <c r="F535" s="3"/>
      <c r="G535" s="3"/>
      <c r="H535" s="3"/>
      <c r="I535" s="3"/>
      <c r="J535" s="3"/>
    </row>
    <row r="536" ht="12.5" spans="6:10">
      <c r="F536" s="3"/>
      <c r="G536" s="3"/>
      <c r="H536" s="3"/>
      <c r="I536" s="3"/>
      <c r="J536" s="3"/>
    </row>
    <row r="537" ht="12.5" spans="6:10">
      <c r="F537" s="3"/>
      <c r="G537" s="3"/>
      <c r="H537" s="3"/>
      <c r="I537" s="3"/>
      <c r="J537" s="3"/>
    </row>
    <row r="538" ht="12.5" spans="6:10">
      <c r="F538" s="3"/>
      <c r="G538" s="3"/>
      <c r="H538" s="3"/>
      <c r="I538" s="3"/>
      <c r="J538" s="3"/>
    </row>
    <row r="539" ht="12.5" spans="6:10">
      <c r="F539" s="3"/>
      <c r="G539" s="3"/>
      <c r="H539" s="3"/>
      <c r="I539" s="3"/>
      <c r="J539" s="3"/>
    </row>
    <row r="540" ht="12.5" spans="6:10">
      <c r="F540" s="3"/>
      <c r="G540" s="3"/>
      <c r="H540" s="3"/>
      <c r="I540" s="3"/>
      <c r="J540" s="3"/>
    </row>
    <row r="541" ht="12.5" spans="6:10">
      <c r="F541" s="3"/>
      <c r="G541" s="3"/>
      <c r="H541" s="3"/>
      <c r="I541" s="3"/>
      <c r="J541" s="3"/>
    </row>
    <row r="542" ht="12.5" spans="6:10">
      <c r="F542" s="3"/>
      <c r="G542" s="3"/>
      <c r="H542" s="3"/>
      <c r="I542" s="3"/>
      <c r="J542" s="3"/>
    </row>
    <row r="543" ht="12.5" spans="6:10">
      <c r="F543" s="3"/>
      <c r="G543" s="3"/>
      <c r="H543" s="3"/>
      <c r="I543" s="3"/>
      <c r="J543" s="3"/>
    </row>
    <row r="544" ht="12.5" spans="6:10">
      <c r="F544" s="3"/>
      <c r="G544" s="3"/>
      <c r="H544" s="3"/>
      <c r="I544" s="3"/>
      <c r="J544" s="3"/>
    </row>
    <row r="545" ht="12.5" spans="6:10">
      <c r="F545" s="3"/>
      <c r="G545" s="3"/>
      <c r="H545" s="3"/>
      <c r="I545" s="3"/>
      <c r="J545" s="3"/>
    </row>
    <row r="546" ht="12.5" spans="6:10">
      <c r="F546" s="3"/>
      <c r="G546" s="3"/>
      <c r="H546" s="3"/>
      <c r="I546" s="3"/>
      <c r="J546" s="3"/>
    </row>
    <row r="547" ht="12.5" spans="6:10">
      <c r="F547" s="3"/>
      <c r="G547" s="3"/>
      <c r="H547" s="3"/>
      <c r="I547" s="3"/>
      <c r="J547" s="3"/>
    </row>
    <row r="548" ht="12.5" spans="6:10">
      <c r="F548" s="3"/>
      <c r="G548" s="3"/>
      <c r="H548" s="3"/>
      <c r="I548" s="3"/>
      <c r="J548" s="3"/>
    </row>
    <row r="549" ht="12.5" spans="6:10">
      <c r="F549" s="3"/>
      <c r="G549" s="3"/>
      <c r="H549" s="3"/>
      <c r="I549" s="3"/>
      <c r="J549" s="3"/>
    </row>
    <row r="550" ht="12.5" spans="6:10">
      <c r="F550" s="3"/>
      <c r="G550" s="3"/>
      <c r="H550" s="3"/>
      <c r="I550" s="3"/>
      <c r="J550" s="3"/>
    </row>
    <row r="551" ht="12.5" spans="6:10">
      <c r="F551" s="3"/>
      <c r="G551" s="3"/>
      <c r="H551" s="3"/>
      <c r="I551" s="3"/>
      <c r="J551" s="3"/>
    </row>
    <row r="552" ht="12.5" spans="6:10">
      <c r="F552" s="3"/>
      <c r="G552" s="3"/>
      <c r="H552" s="3"/>
      <c r="I552" s="3"/>
      <c r="J552" s="3"/>
    </row>
    <row r="553" ht="12.5" spans="6:10">
      <c r="F553" s="3"/>
      <c r="G553" s="3"/>
      <c r="H553" s="3"/>
      <c r="I553" s="3"/>
      <c r="J553" s="3"/>
    </row>
    <row r="554" ht="12.5" spans="6:10">
      <c r="F554" s="3"/>
      <c r="G554" s="3"/>
      <c r="H554" s="3"/>
      <c r="I554" s="3"/>
      <c r="J554" s="3"/>
    </row>
    <row r="555" ht="12.5" spans="6:10">
      <c r="F555" s="3"/>
      <c r="G555" s="3"/>
      <c r="H555" s="3"/>
      <c r="I555" s="3"/>
      <c r="J555" s="3"/>
    </row>
    <row r="556" ht="12.5" spans="6:10">
      <c r="F556" s="3"/>
      <c r="G556" s="3"/>
      <c r="H556" s="3"/>
      <c r="I556" s="3"/>
      <c r="J556" s="3"/>
    </row>
    <row r="557" ht="12.5" spans="6:10">
      <c r="F557" s="3"/>
      <c r="G557" s="3"/>
      <c r="H557" s="3"/>
      <c r="I557" s="3"/>
      <c r="J557" s="3"/>
    </row>
    <row r="558" ht="12.5" spans="6:10">
      <c r="F558" s="3"/>
      <c r="G558" s="3"/>
      <c r="H558" s="3"/>
      <c r="I558" s="3"/>
      <c r="J558" s="3"/>
    </row>
    <row r="559" ht="12.5" spans="6:10">
      <c r="F559" s="3"/>
      <c r="G559" s="3"/>
      <c r="H559" s="3"/>
      <c r="I559" s="3"/>
      <c r="J559" s="3"/>
    </row>
    <row r="560" ht="12.5" spans="6:10">
      <c r="F560" s="3"/>
      <c r="G560" s="3"/>
      <c r="H560" s="3"/>
      <c r="I560" s="3"/>
      <c r="J560" s="3"/>
    </row>
    <row r="561" ht="12.5" spans="6:10">
      <c r="F561" s="3"/>
      <c r="G561" s="3"/>
      <c r="H561" s="3"/>
      <c r="I561" s="3"/>
      <c r="J561" s="3"/>
    </row>
    <row r="562" ht="12.5" spans="6:10">
      <c r="F562" s="3"/>
      <c r="G562" s="3"/>
      <c r="H562" s="3"/>
      <c r="I562" s="3"/>
      <c r="J562" s="3"/>
    </row>
    <row r="563" ht="12.5" spans="6:10">
      <c r="F563" s="3"/>
      <c r="G563" s="3"/>
      <c r="H563" s="3"/>
      <c r="I563" s="3"/>
      <c r="J563" s="3"/>
    </row>
    <row r="564" ht="12.5" spans="6:10">
      <c r="F564" s="3"/>
      <c r="G564" s="3"/>
      <c r="H564" s="3"/>
      <c r="I564" s="3"/>
      <c r="J564" s="3"/>
    </row>
    <row r="565" ht="12.5" spans="6:10">
      <c r="F565" s="3"/>
      <c r="G565" s="3"/>
      <c r="H565" s="3"/>
      <c r="I565" s="3"/>
      <c r="J565" s="3"/>
    </row>
    <row r="566" ht="12.5" spans="6:10">
      <c r="F566" s="3"/>
      <c r="G566" s="3"/>
      <c r="H566" s="3"/>
      <c r="I566" s="3"/>
      <c r="J566" s="3"/>
    </row>
    <row r="567" ht="12.5" spans="6:10">
      <c r="F567" s="3"/>
      <c r="G567" s="3"/>
      <c r="H567" s="3"/>
      <c r="I567" s="3"/>
      <c r="J567" s="3"/>
    </row>
    <row r="568" ht="12.5" spans="6:10">
      <c r="F568" s="3"/>
      <c r="G568" s="3"/>
      <c r="H568" s="3"/>
      <c r="I568" s="3"/>
      <c r="J568" s="3"/>
    </row>
    <row r="569" ht="12.5" spans="6:10">
      <c r="F569" s="3"/>
      <c r="G569" s="3"/>
      <c r="H569" s="3"/>
      <c r="I569" s="3"/>
      <c r="J569" s="3"/>
    </row>
    <row r="570" ht="12.5" spans="6:10">
      <c r="F570" s="3"/>
      <c r="G570" s="3"/>
      <c r="H570" s="3"/>
      <c r="I570" s="3"/>
      <c r="J570" s="3"/>
    </row>
    <row r="571" ht="12.5" spans="6:10">
      <c r="F571" s="3"/>
      <c r="G571" s="3"/>
      <c r="H571" s="3"/>
      <c r="I571" s="3"/>
      <c r="J571" s="3"/>
    </row>
    <row r="572" ht="12.5" spans="6:10">
      <c r="F572" s="3"/>
      <c r="G572" s="3"/>
      <c r="H572" s="3"/>
      <c r="I572" s="3"/>
      <c r="J572" s="3"/>
    </row>
    <row r="573" ht="12.5" spans="6:10">
      <c r="F573" s="3"/>
      <c r="G573" s="3"/>
      <c r="H573" s="3"/>
      <c r="I573" s="3"/>
      <c r="J573" s="3"/>
    </row>
    <row r="574" ht="12.5" spans="6:10">
      <c r="F574" s="3"/>
      <c r="G574" s="3"/>
      <c r="H574" s="3"/>
      <c r="I574" s="3"/>
      <c r="J574" s="3"/>
    </row>
    <row r="575" ht="12.5" spans="6:10">
      <c r="F575" s="3"/>
      <c r="G575" s="3"/>
      <c r="H575" s="3"/>
      <c r="I575" s="3"/>
      <c r="J575" s="3"/>
    </row>
    <row r="576" ht="12.5" spans="6:10">
      <c r="F576" s="3"/>
      <c r="G576" s="3"/>
      <c r="H576" s="3"/>
      <c r="I576" s="3"/>
      <c r="J576" s="3"/>
    </row>
    <row r="577" ht="12.5" spans="6:10">
      <c r="F577" s="3"/>
      <c r="G577" s="3"/>
      <c r="H577" s="3"/>
      <c r="I577" s="3"/>
      <c r="J577" s="3"/>
    </row>
    <row r="578" ht="12.5" spans="6:10">
      <c r="F578" s="3"/>
      <c r="G578" s="3"/>
      <c r="H578" s="3"/>
      <c r="I578" s="3"/>
      <c r="J578" s="3"/>
    </row>
    <row r="579" ht="12.5" spans="6:10">
      <c r="F579" s="3"/>
      <c r="G579" s="3"/>
      <c r="H579" s="3"/>
      <c r="I579" s="3"/>
      <c r="J579" s="3"/>
    </row>
    <row r="580" ht="12.5" spans="6:10">
      <c r="F580" s="3"/>
      <c r="G580" s="3"/>
      <c r="H580" s="3"/>
      <c r="I580" s="3"/>
      <c r="J580" s="3"/>
    </row>
    <row r="581" ht="12.5" spans="6:10">
      <c r="F581" s="3"/>
      <c r="G581" s="3"/>
      <c r="H581" s="3"/>
      <c r="I581" s="3"/>
      <c r="J581" s="3"/>
    </row>
    <row r="582" ht="12.5" spans="6:10">
      <c r="F582" s="3"/>
      <c r="G582" s="3"/>
      <c r="H582" s="3"/>
      <c r="I582" s="3"/>
      <c r="J582" s="3"/>
    </row>
    <row r="583" ht="12.5" spans="6:10">
      <c r="F583" s="3"/>
      <c r="G583" s="3"/>
      <c r="H583" s="3"/>
      <c r="I583" s="3"/>
      <c r="J583" s="3"/>
    </row>
    <row r="584" ht="12.5" spans="6:10">
      <c r="F584" s="3"/>
      <c r="G584" s="3"/>
      <c r="H584" s="3"/>
      <c r="I584" s="3"/>
      <c r="J584" s="3"/>
    </row>
    <row r="585" ht="12.5" spans="6:10">
      <c r="F585" s="3"/>
      <c r="G585" s="3"/>
      <c r="H585" s="3"/>
      <c r="I585" s="3"/>
      <c r="J585" s="3"/>
    </row>
    <row r="586" ht="12.5" spans="6:10">
      <c r="F586" s="3"/>
      <c r="G586" s="3"/>
      <c r="H586" s="3"/>
      <c r="I586" s="3"/>
      <c r="J586" s="3"/>
    </row>
    <row r="587" ht="12.5" spans="6:10">
      <c r="F587" s="3"/>
      <c r="G587" s="3"/>
      <c r="H587" s="3"/>
      <c r="I587" s="3"/>
      <c r="J587" s="3"/>
    </row>
    <row r="588" ht="12.5" spans="6:10">
      <c r="F588" s="3"/>
      <c r="G588" s="3"/>
      <c r="H588" s="3"/>
      <c r="I588" s="3"/>
      <c r="J588" s="3"/>
    </row>
    <row r="589" ht="12.5" spans="6:10">
      <c r="F589" s="3"/>
      <c r="G589" s="3"/>
      <c r="H589" s="3"/>
      <c r="I589" s="3"/>
      <c r="J589" s="3"/>
    </row>
    <row r="590" ht="12.5" spans="6:10">
      <c r="F590" s="3"/>
      <c r="G590" s="3"/>
      <c r="H590" s="3"/>
      <c r="I590" s="3"/>
      <c r="J590" s="3"/>
    </row>
    <row r="591" ht="12.5" spans="6:10">
      <c r="F591" s="3"/>
      <c r="G591" s="3"/>
      <c r="H591" s="3"/>
      <c r="I591" s="3"/>
      <c r="J591" s="3"/>
    </row>
    <row r="592" ht="12.5" spans="6:10">
      <c r="F592" s="3"/>
      <c r="G592" s="3"/>
      <c r="H592" s="3"/>
      <c r="I592" s="3"/>
      <c r="J592" s="3"/>
    </row>
    <row r="593" ht="12.5" spans="6:10">
      <c r="F593" s="3"/>
      <c r="G593" s="3"/>
      <c r="H593" s="3"/>
      <c r="I593" s="3"/>
      <c r="J593" s="3"/>
    </row>
    <row r="594" ht="12.5" spans="6:10">
      <c r="F594" s="3"/>
      <c r="G594" s="3"/>
      <c r="H594" s="3"/>
      <c r="I594" s="3"/>
      <c r="J594" s="3"/>
    </row>
    <row r="595" ht="12.5" spans="6:10">
      <c r="F595" s="3"/>
      <c r="G595" s="3"/>
      <c r="H595" s="3"/>
      <c r="I595" s="3"/>
      <c r="J595" s="3"/>
    </row>
    <row r="596" ht="12.5" spans="6:10">
      <c r="F596" s="3"/>
      <c r="G596" s="3"/>
      <c r="H596" s="3"/>
      <c r="I596" s="3"/>
      <c r="J596" s="3"/>
    </row>
    <row r="597" ht="12.5" spans="6:10">
      <c r="F597" s="3"/>
      <c r="G597" s="3"/>
      <c r="H597" s="3"/>
      <c r="I597" s="3"/>
      <c r="J597" s="3"/>
    </row>
    <row r="598" ht="12.5" spans="6:10">
      <c r="F598" s="3"/>
      <c r="G598" s="3"/>
      <c r="H598" s="3"/>
      <c r="I598" s="3"/>
      <c r="J598" s="3"/>
    </row>
    <row r="599" ht="12.5" spans="6:10">
      <c r="F599" s="3"/>
      <c r="G599" s="3"/>
      <c r="H599" s="3"/>
      <c r="I599" s="3"/>
      <c r="J599" s="3"/>
    </row>
    <row r="600" ht="12.5" spans="6:10">
      <c r="F600" s="3"/>
      <c r="G600" s="3"/>
      <c r="H600" s="3"/>
      <c r="I600" s="3"/>
      <c r="J600" s="3"/>
    </row>
    <row r="601" ht="12.5" spans="6:10">
      <c r="F601" s="3"/>
      <c r="G601" s="3"/>
      <c r="H601" s="3"/>
      <c r="I601" s="3"/>
      <c r="J601" s="3"/>
    </row>
    <row r="602" ht="12.5" spans="6:10">
      <c r="F602" s="3"/>
      <c r="G602" s="3"/>
      <c r="H602" s="3"/>
      <c r="I602" s="3"/>
      <c r="J602" s="3"/>
    </row>
    <row r="603" ht="12.5" spans="6:10">
      <c r="F603" s="3"/>
      <c r="G603" s="3"/>
      <c r="H603" s="3"/>
      <c r="I603" s="3"/>
      <c r="J603" s="3"/>
    </row>
    <row r="604" ht="12.5" spans="6:10">
      <c r="F604" s="3"/>
      <c r="G604" s="3"/>
      <c r="H604" s="3"/>
      <c r="I604" s="3"/>
      <c r="J604" s="3"/>
    </row>
    <row r="605" ht="12.5" spans="6:10">
      <c r="F605" s="3"/>
      <c r="G605" s="3"/>
      <c r="H605" s="3"/>
      <c r="I605" s="3"/>
      <c r="J605" s="3"/>
    </row>
    <row r="606" ht="12.5" spans="6:10">
      <c r="F606" s="3"/>
      <c r="G606" s="3"/>
      <c r="H606" s="3"/>
      <c r="I606" s="3"/>
      <c r="J606" s="3"/>
    </row>
    <row r="607" ht="12.5" spans="6:10">
      <c r="F607" s="3"/>
      <c r="G607" s="3"/>
      <c r="H607" s="3"/>
      <c r="I607" s="3"/>
      <c r="J607" s="3"/>
    </row>
    <row r="608" ht="12.5" spans="6:10">
      <c r="F608" s="3"/>
      <c r="G608" s="3"/>
      <c r="H608" s="3"/>
      <c r="I608" s="3"/>
      <c r="J608" s="3"/>
    </row>
    <row r="609" ht="12.5" spans="6:10">
      <c r="F609" s="3"/>
      <c r="G609" s="3"/>
      <c r="H609" s="3"/>
      <c r="I609" s="3"/>
      <c r="J609" s="3"/>
    </row>
    <row r="610" ht="12.5" spans="6:10">
      <c r="F610" s="3"/>
      <c r="G610" s="3"/>
      <c r="H610" s="3"/>
      <c r="I610" s="3"/>
      <c r="J610" s="3"/>
    </row>
    <row r="611" ht="12.5" spans="6:10">
      <c r="F611" s="3"/>
      <c r="G611" s="3"/>
      <c r="H611" s="3"/>
      <c r="I611" s="3"/>
      <c r="J611" s="3"/>
    </row>
    <row r="612" ht="12.5" spans="6:10">
      <c r="F612" s="3"/>
      <c r="G612" s="3"/>
      <c r="H612" s="3"/>
      <c r="I612" s="3"/>
      <c r="J612" s="3"/>
    </row>
    <row r="613" ht="12.5" spans="6:10">
      <c r="F613" s="3"/>
      <c r="G613" s="3"/>
      <c r="H613" s="3"/>
      <c r="I613" s="3"/>
      <c r="J613" s="3"/>
    </row>
    <row r="614" ht="12.5" spans="6:10">
      <c r="F614" s="3"/>
      <c r="G614" s="3"/>
      <c r="H614" s="3"/>
      <c r="I614" s="3"/>
      <c r="J614" s="3"/>
    </row>
    <row r="615" ht="12.5" spans="6:10">
      <c r="F615" s="3"/>
      <c r="G615" s="3"/>
      <c r="H615" s="3"/>
      <c r="I615" s="3"/>
      <c r="J615" s="3"/>
    </row>
    <row r="616" ht="12.5" spans="6:10">
      <c r="F616" s="3"/>
      <c r="G616" s="3"/>
      <c r="H616" s="3"/>
      <c r="I616" s="3"/>
      <c r="J616" s="3"/>
    </row>
    <row r="617" ht="12.5" spans="6:10">
      <c r="F617" s="3"/>
      <c r="G617" s="3"/>
      <c r="H617" s="3"/>
      <c r="I617" s="3"/>
      <c r="J617" s="3"/>
    </row>
    <row r="618" ht="12.5" spans="6:10">
      <c r="F618" s="3"/>
      <c r="G618" s="3"/>
      <c r="H618" s="3"/>
      <c r="I618" s="3"/>
      <c r="J618" s="3"/>
    </row>
    <row r="619" ht="12.5" spans="6:10">
      <c r="F619" s="3"/>
      <c r="G619" s="3"/>
      <c r="H619" s="3"/>
      <c r="I619" s="3"/>
      <c r="J619" s="3"/>
    </row>
    <row r="620" ht="12.5" spans="6:10">
      <c r="F620" s="3"/>
      <c r="G620" s="3"/>
      <c r="H620" s="3"/>
      <c r="I620" s="3"/>
      <c r="J620" s="3"/>
    </row>
    <row r="621" ht="12.5" spans="6:10">
      <c r="F621" s="3"/>
      <c r="G621" s="3"/>
      <c r="H621" s="3"/>
      <c r="I621" s="3"/>
      <c r="J621" s="3"/>
    </row>
    <row r="622" ht="12.5" spans="6:10">
      <c r="F622" s="3"/>
      <c r="G622" s="3"/>
      <c r="H622" s="3"/>
      <c r="I622" s="3"/>
      <c r="J622" s="3"/>
    </row>
    <row r="623" ht="12.5" spans="6:10">
      <c r="F623" s="3"/>
      <c r="G623" s="3"/>
      <c r="H623" s="3"/>
      <c r="I623" s="3"/>
      <c r="J623" s="3"/>
    </row>
    <row r="624" ht="12.5" spans="6:10">
      <c r="F624" s="3"/>
      <c r="G624" s="3"/>
      <c r="H624" s="3"/>
      <c r="I624" s="3"/>
      <c r="J624" s="3"/>
    </row>
    <row r="625" ht="12.5" spans="6:10">
      <c r="F625" s="3"/>
      <c r="G625" s="3"/>
      <c r="H625" s="3"/>
      <c r="I625" s="3"/>
      <c r="J625" s="3"/>
    </row>
    <row r="626" ht="12.5" spans="6:10">
      <c r="F626" s="3"/>
      <c r="G626" s="3"/>
      <c r="H626" s="3"/>
      <c r="I626" s="3"/>
      <c r="J626" s="3"/>
    </row>
    <row r="627" ht="12.5" spans="6:10">
      <c r="F627" s="3"/>
      <c r="G627" s="3"/>
      <c r="H627" s="3"/>
      <c r="I627" s="3"/>
      <c r="J627" s="3"/>
    </row>
    <row r="628" ht="12.5" spans="6:10">
      <c r="F628" s="3"/>
      <c r="G628" s="3"/>
      <c r="H628" s="3"/>
      <c r="I628" s="3"/>
      <c r="J628" s="3"/>
    </row>
    <row r="629" ht="12.5" spans="6:10">
      <c r="F629" s="3"/>
      <c r="G629" s="3"/>
      <c r="H629" s="3"/>
      <c r="I629" s="3"/>
      <c r="J629" s="3"/>
    </row>
    <row r="630" ht="12.5" spans="6:10">
      <c r="F630" s="3"/>
      <c r="G630" s="3"/>
      <c r="H630" s="3"/>
      <c r="I630" s="3"/>
      <c r="J630" s="3"/>
    </row>
    <row r="631" ht="12.5" spans="6:10">
      <c r="F631" s="3"/>
      <c r="G631" s="3"/>
      <c r="H631" s="3"/>
      <c r="I631" s="3"/>
      <c r="J631" s="3"/>
    </row>
    <row r="632" ht="12.5" spans="6:10">
      <c r="F632" s="3"/>
      <c r="G632" s="3"/>
      <c r="H632" s="3"/>
      <c r="I632" s="3"/>
      <c r="J632" s="3"/>
    </row>
    <row r="633" ht="12.5" spans="6:10">
      <c r="F633" s="3"/>
      <c r="G633" s="3"/>
      <c r="H633" s="3"/>
      <c r="I633" s="3"/>
      <c r="J633" s="3"/>
    </row>
    <row r="634" ht="12.5" spans="6:10">
      <c r="F634" s="3"/>
      <c r="G634" s="3"/>
      <c r="H634" s="3"/>
      <c r="I634" s="3"/>
      <c r="J634" s="3"/>
    </row>
    <row r="635" ht="12.5" spans="6:10">
      <c r="F635" s="3"/>
      <c r="G635" s="3"/>
      <c r="H635" s="3"/>
      <c r="I635" s="3"/>
      <c r="J635" s="3"/>
    </row>
    <row r="636" ht="12.5" spans="6:10">
      <c r="F636" s="3"/>
      <c r="G636" s="3"/>
      <c r="H636" s="3"/>
      <c r="I636" s="3"/>
      <c r="J636" s="3"/>
    </row>
    <row r="637" ht="12.5" spans="6:10">
      <c r="F637" s="3"/>
      <c r="G637" s="3"/>
      <c r="H637" s="3"/>
      <c r="I637" s="3"/>
      <c r="J637" s="3"/>
    </row>
    <row r="638" ht="12.5" spans="6:10">
      <c r="F638" s="3"/>
      <c r="G638" s="3"/>
      <c r="H638" s="3"/>
      <c r="I638" s="3"/>
      <c r="J638" s="3"/>
    </row>
    <row r="639" ht="12.5" spans="6:10">
      <c r="F639" s="3"/>
      <c r="G639" s="3"/>
      <c r="H639" s="3"/>
      <c r="I639" s="3"/>
      <c r="J639" s="3"/>
    </row>
    <row r="640" ht="12.5" spans="6:10">
      <c r="F640" s="3"/>
      <c r="G640" s="3"/>
      <c r="H640" s="3"/>
      <c r="I640" s="3"/>
      <c r="J640" s="3"/>
    </row>
    <row r="641" ht="12.5" spans="6:10">
      <c r="F641" s="3"/>
      <c r="G641" s="3"/>
      <c r="H641" s="3"/>
      <c r="I641" s="3"/>
      <c r="J641" s="3"/>
    </row>
    <row r="642" ht="12.5" spans="6:10">
      <c r="F642" s="3"/>
      <c r="G642" s="3"/>
      <c r="H642" s="3"/>
      <c r="I642" s="3"/>
      <c r="J642" s="3"/>
    </row>
    <row r="643" ht="12.5" spans="6:10">
      <c r="F643" s="3"/>
      <c r="G643" s="3"/>
      <c r="H643" s="3"/>
      <c r="I643" s="3"/>
      <c r="J643" s="3"/>
    </row>
    <row r="644" ht="12.5" spans="6:10">
      <c r="F644" s="3"/>
      <c r="G644" s="3"/>
      <c r="H644" s="3"/>
      <c r="I644" s="3"/>
      <c r="J644" s="3"/>
    </row>
    <row r="645" ht="12.5" spans="6:10">
      <c r="F645" s="3"/>
      <c r="G645" s="3"/>
      <c r="H645" s="3"/>
      <c r="I645" s="3"/>
      <c r="J645" s="3"/>
    </row>
    <row r="646" ht="12.5" spans="6:10">
      <c r="F646" s="3"/>
      <c r="G646" s="3"/>
      <c r="H646" s="3"/>
      <c r="I646" s="3"/>
      <c r="J646" s="3"/>
    </row>
    <row r="647" ht="12.5" spans="6:10">
      <c r="F647" s="3"/>
      <c r="G647" s="3"/>
      <c r="H647" s="3"/>
      <c r="I647" s="3"/>
      <c r="J647" s="3"/>
    </row>
    <row r="648" ht="12.5" spans="6:10">
      <c r="F648" s="3"/>
      <c r="G648" s="3"/>
      <c r="H648" s="3"/>
      <c r="I648" s="3"/>
      <c r="J648" s="3"/>
    </row>
    <row r="649" ht="12.5" spans="6:10">
      <c r="F649" s="3"/>
      <c r="G649" s="3"/>
      <c r="H649" s="3"/>
      <c r="I649" s="3"/>
      <c r="J649" s="3"/>
    </row>
    <row r="650" ht="12.5" spans="6:10">
      <c r="F650" s="3"/>
      <c r="G650" s="3"/>
      <c r="H650" s="3"/>
      <c r="I650" s="3"/>
      <c r="J650" s="3"/>
    </row>
    <row r="651" ht="12.5" spans="6:10">
      <c r="F651" s="3"/>
      <c r="G651" s="3"/>
      <c r="H651" s="3"/>
      <c r="I651" s="3"/>
      <c r="J651" s="3"/>
    </row>
    <row r="652" ht="12.5" spans="6:10">
      <c r="F652" s="3"/>
      <c r="G652" s="3"/>
      <c r="H652" s="3"/>
      <c r="I652" s="3"/>
      <c r="J652" s="3"/>
    </row>
    <row r="653" ht="12.5" spans="6:10">
      <c r="F653" s="3"/>
      <c r="G653" s="3"/>
      <c r="H653" s="3"/>
      <c r="I653" s="3"/>
      <c r="J653" s="3"/>
    </row>
    <row r="654" ht="12.5" spans="6:10">
      <c r="F654" s="3"/>
      <c r="G654" s="3"/>
      <c r="H654" s="3"/>
      <c r="I654" s="3"/>
      <c r="J654" s="3"/>
    </row>
    <row r="655" ht="12.5" spans="6:10">
      <c r="F655" s="3"/>
      <c r="G655" s="3"/>
      <c r="H655" s="3"/>
      <c r="I655" s="3"/>
      <c r="J655" s="3"/>
    </row>
    <row r="656" ht="12.5" spans="6:10">
      <c r="F656" s="3"/>
      <c r="G656" s="3"/>
      <c r="H656" s="3"/>
      <c r="I656" s="3"/>
      <c r="J656" s="3"/>
    </row>
    <row r="657" ht="12.5" spans="6:10">
      <c r="F657" s="3"/>
      <c r="G657" s="3"/>
      <c r="H657" s="3"/>
      <c r="I657" s="3"/>
      <c r="J657" s="3"/>
    </row>
    <row r="658" ht="12.5" spans="6:10">
      <c r="F658" s="3"/>
      <c r="G658" s="3"/>
      <c r="H658" s="3"/>
      <c r="I658" s="3"/>
      <c r="J658" s="3"/>
    </row>
    <row r="659" ht="12.5" spans="6:10">
      <c r="F659" s="3"/>
      <c r="G659" s="3"/>
      <c r="H659" s="3"/>
      <c r="I659" s="3"/>
      <c r="J659" s="3"/>
    </row>
    <row r="660" ht="12.5" spans="6:10">
      <c r="F660" s="3"/>
      <c r="G660" s="3"/>
      <c r="H660" s="3"/>
      <c r="I660" s="3"/>
      <c r="J660" s="3"/>
    </row>
    <row r="661" ht="12.5" spans="6:10">
      <c r="F661" s="3"/>
      <c r="G661" s="3"/>
      <c r="H661" s="3"/>
      <c r="I661" s="3"/>
      <c r="J661" s="3"/>
    </row>
    <row r="662" ht="12.5" spans="6:10">
      <c r="F662" s="3"/>
      <c r="G662" s="3"/>
      <c r="H662" s="3"/>
      <c r="I662" s="3"/>
      <c r="J662" s="3"/>
    </row>
    <row r="663" ht="12.5" spans="6:10">
      <c r="F663" s="3"/>
      <c r="G663" s="3"/>
      <c r="H663" s="3"/>
      <c r="I663" s="3"/>
      <c r="J663" s="3"/>
    </row>
    <row r="664" ht="12.5" spans="6:10">
      <c r="F664" s="3"/>
      <c r="G664" s="3"/>
      <c r="H664" s="3"/>
      <c r="I664" s="3"/>
      <c r="J664" s="3"/>
    </row>
    <row r="665" ht="12.5" spans="6:10">
      <c r="F665" s="3"/>
      <c r="G665" s="3"/>
      <c r="H665" s="3"/>
      <c r="I665" s="3"/>
      <c r="J665" s="3"/>
    </row>
    <row r="666" ht="12.5" spans="6:10">
      <c r="F666" s="3"/>
      <c r="G666" s="3"/>
      <c r="H666" s="3"/>
      <c r="I666" s="3"/>
      <c r="J666" s="3"/>
    </row>
    <row r="667" ht="12.5" spans="6:10">
      <c r="F667" s="3"/>
      <c r="G667" s="3"/>
      <c r="H667" s="3"/>
      <c r="I667" s="3"/>
      <c r="J667" s="3"/>
    </row>
    <row r="668" ht="12.5" spans="6:10">
      <c r="F668" s="3"/>
      <c r="G668" s="3"/>
      <c r="H668" s="3"/>
      <c r="I668" s="3"/>
      <c r="J668" s="3"/>
    </row>
    <row r="669" ht="12.5" spans="6:10">
      <c r="F669" s="3"/>
      <c r="G669" s="3"/>
      <c r="H669" s="3"/>
      <c r="I669" s="3"/>
      <c r="J669" s="3"/>
    </row>
    <row r="670" ht="12.5" spans="6:10">
      <c r="F670" s="3"/>
      <c r="G670" s="3"/>
      <c r="H670" s="3"/>
      <c r="I670" s="3"/>
      <c r="J670" s="3"/>
    </row>
    <row r="671" ht="12.5" spans="6:10">
      <c r="F671" s="3"/>
      <c r="G671" s="3"/>
      <c r="H671" s="3"/>
      <c r="I671" s="3"/>
      <c r="J671" s="3"/>
    </row>
    <row r="672" ht="12.5" spans="6:10">
      <c r="F672" s="3"/>
      <c r="G672" s="3"/>
      <c r="H672" s="3"/>
      <c r="I672" s="3"/>
      <c r="J672" s="3"/>
    </row>
    <row r="673" ht="12.5" spans="6:10">
      <c r="F673" s="3"/>
      <c r="G673" s="3"/>
      <c r="H673" s="3"/>
      <c r="I673" s="3"/>
      <c r="J673" s="3"/>
    </row>
    <row r="674" ht="12.5" spans="6:10">
      <c r="F674" s="3"/>
      <c r="G674" s="3"/>
      <c r="H674" s="3"/>
      <c r="I674" s="3"/>
      <c r="J674" s="3"/>
    </row>
    <row r="675" ht="12.5" spans="6:10">
      <c r="F675" s="3"/>
      <c r="G675" s="3"/>
      <c r="H675" s="3"/>
      <c r="I675" s="3"/>
      <c r="J675" s="3"/>
    </row>
    <row r="676" ht="12.5" spans="6:10">
      <c r="F676" s="3"/>
      <c r="G676" s="3"/>
      <c r="H676" s="3"/>
      <c r="I676" s="3"/>
      <c r="J676" s="3"/>
    </row>
    <row r="677" ht="12.5" spans="6:10">
      <c r="F677" s="3"/>
      <c r="G677" s="3"/>
      <c r="H677" s="3"/>
      <c r="I677" s="3"/>
      <c r="J677" s="3"/>
    </row>
    <row r="678" ht="12.5" spans="6:10">
      <c r="F678" s="3"/>
      <c r="G678" s="3"/>
      <c r="H678" s="3"/>
      <c r="I678" s="3"/>
      <c r="J678" s="3"/>
    </row>
    <row r="679" ht="12.5" spans="6:10">
      <c r="F679" s="3"/>
      <c r="G679" s="3"/>
      <c r="H679" s="3"/>
      <c r="I679" s="3"/>
      <c r="J679" s="3"/>
    </row>
    <row r="680" ht="12.5" spans="6:10">
      <c r="F680" s="3"/>
      <c r="G680" s="3"/>
      <c r="H680" s="3"/>
      <c r="I680" s="3"/>
      <c r="J680" s="3"/>
    </row>
    <row r="681" ht="12.5" spans="6:10">
      <c r="F681" s="3"/>
      <c r="G681" s="3"/>
      <c r="H681" s="3"/>
      <c r="I681" s="3"/>
      <c r="J681" s="3"/>
    </row>
    <row r="682" ht="12.5" spans="6:10">
      <c r="F682" s="3"/>
      <c r="G682" s="3"/>
      <c r="H682" s="3"/>
      <c r="I682" s="3"/>
      <c r="J682" s="3"/>
    </row>
    <row r="683" ht="12.5" spans="6:10">
      <c r="F683" s="3"/>
      <c r="G683" s="3"/>
      <c r="H683" s="3"/>
      <c r="I683" s="3"/>
      <c r="J683" s="3"/>
    </row>
    <row r="684" ht="12.5" spans="6:10">
      <c r="F684" s="3"/>
      <c r="G684" s="3"/>
      <c r="H684" s="3"/>
      <c r="I684" s="3"/>
      <c r="J684" s="3"/>
    </row>
    <row r="685" ht="12.5" spans="6:10">
      <c r="F685" s="3"/>
      <c r="G685" s="3"/>
      <c r="H685" s="3"/>
      <c r="I685" s="3"/>
      <c r="J685" s="3"/>
    </row>
    <row r="686" ht="12.5" spans="6:10">
      <c r="F686" s="3"/>
      <c r="G686" s="3"/>
      <c r="H686" s="3"/>
      <c r="I686" s="3"/>
      <c r="J686" s="3"/>
    </row>
    <row r="687" ht="12.5" spans="6:10">
      <c r="F687" s="3"/>
      <c r="G687" s="3"/>
      <c r="H687" s="3"/>
      <c r="I687" s="3"/>
      <c r="J687" s="3"/>
    </row>
    <row r="688" ht="12.5" spans="6:10">
      <c r="F688" s="3"/>
      <c r="G688" s="3"/>
      <c r="H688" s="3"/>
      <c r="I688" s="3"/>
      <c r="J688" s="3"/>
    </row>
    <row r="689" ht="12.5" spans="6:10">
      <c r="F689" s="3"/>
      <c r="G689" s="3"/>
      <c r="H689" s="3"/>
      <c r="I689" s="3"/>
      <c r="J689" s="3"/>
    </row>
    <row r="690" ht="12.5" spans="6:10">
      <c r="F690" s="3"/>
      <c r="G690" s="3"/>
      <c r="H690" s="3"/>
      <c r="I690" s="3"/>
      <c r="J690" s="3"/>
    </row>
    <row r="691" ht="12.5" spans="6:10">
      <c r="F691" s="3"/>
      <c r="G691" s="3"/>
      <c r="H691" s="3"/>
      <c r="I691" s="3"/>
      <c r="J691" s="3"/>
    </row>
    <row r="692" ht="12.5" spans="6:10">
      <c r="F692" s="3"/>
      <c r="G692" s="3"/>
      <c r="H692" s="3"/>
      <c r="I692" s="3"/>
      <c r="J692" s="3"/>
    </row>
    <row r="693" ht="12.5" spans="6:10">
      <c r="F693" s="3"/>
      <c r="G693" s="3"/>
      <c r="H693" s="3"/>
      <c r="I693" s="3"/>
      <c r="J693" s="3"/>
    </row>
    <row r="694" ht="12.5" spans="6:10">
      <c r="F694" s="3"/>
      <c r="G694" s="3"/>
      <c r="H694" s="3"/>
      <c r="I694" s="3"/>
      <c r="J694" s="3"/>
    </row>
    <row r="695" ht="12.5" spans="6:10">
      <c r="F695" s="3"/>
      <c r="G695" s="3"/>
      <c r="H695" s="3"/>
      <c r="I695" s="3"/>
      <c r="J695" s="3"/>
    </row>
    <row r="696" ht="12.5" spans="6:10">
      <c r="F696" s="3"/>
      <c r="G696" s="3"/>
      <c r="H696" s="3"/>
      <c r="I696" s="3"/>
      <c r="J696" s="3"/>
    </row>
    <row r="697" ht="12.5" spans="6:10">
      <c r="F697" s="3"/>
      <c r="G697" s="3"/>
      <c r="H697" s="3"/>
      <c r="I697" s="3"/>
      <c r="J697" s="3"/>
    </row>
    <row r="698" ht="12.5" spans="6:10">
      <c r="F698" s="3"/>
      <c r="G698" s="3"/>
      <c r="H698" s="3"/>
      <c r="I698" s="3"/>
      <c r="J698" s="3"/>
    </row>
    <row r="699" ht="12.5" spans="6:10">
      <c r="F699" s="3"/>
      <c r="G699" s="3"/>
      <c r="H699" s="3"/>
      <c r="I699" s="3"/>
      <c r="J699" s="3"/>
    </row>
    <row r="700" ht="12.5" spans="6:10">
      <c r="F700" s="3"/>
      <c r="G700" s="3"/>
      <c r="H700" s="3"/>
      <c r="I700" s="3"/>
      <c r="J700" s="3"/>
    </row>
    <row r="701" ht="12.5" spans="6:10">
      <c r="F701" s="3"/>
      <c r="G701" s="3"/>
      <c r="H701" s="3"/>
      <c r="I701" s="3"/>
      <c r="J701" s="3"/>
    </row>
    <row r="702" ht="12.5" spans="6:10">
      <c r="F702" s="3"/>
      <c r="G702" s="3"/>
      <c r="H702" s="3"/>
      <c r="I702" s="3"/>
      <c r="J702" s="3"/>
    </row>
    <row r="703" ht="12.5" spans="6:10">
      <c r="F703" s="3"/>
      <c r="G703" s="3"/>
      <c r="H703" s="3"/>
      <c r="I703" s="3"/>
      <c r="J703" s="3"/>
    </row>
    <row r="704" ht="12.5" spans="6:10">
      <c r="F704" s="3"/>
      <c r="G704" s="3"/>
      <c r="H704" s="3"/>
      <c r="I704" s="3"/>
      <c r="J704" s="3"/>
    </row>
    <row r="705" ht="12.5" spans="6:10">
      <c r="F705" s="3"/>
      <c r="G705" s="3"/>
      <c r="H705" s="3"/>
      <c r="I705" s="3"/>
      <c r="J705" s="3"/>
    </row>
    <row r="706" ht="12.5" spans="6:10">
      <c r="F706" s="3"/>
      <c r="G706" s="3"/>
      <c r="H706" s="3"/>
      <c r="I706" s="3"/>
      <c r="J706" s="3"/>
    </row>
    <row r="707" ht="12.5" spans="6:10">
      <c r="F707" s="3"/>
      <c r="G707" s="3"/>
      <c r="H707" s="3"/>
      <c r="I707" s="3"/>
      <c r="J707" s="3"/>
    </row>
    <row r="708" ht="12.5" spans="6:10">
      <c r="F708" s="3"/>
      <c r="G708" s="3"/>
      <c r="H708" s="3"/>
      <c r="I708" s="3"/>
      <c r="J708" s="3"/>
    </row>
    <row r="709" ht="12.5" spans="6:10">
      <c r="F709" s="3"/>
      <c r="G709" s="3"/>
      <c r="H709" s="3"/>
      <c r="I709" s="3"/>
      <c r="J709" s="3"/>
    </row>
    <row r="710" ht="12.5" spans="6:10">
      <c r="F710" s="3"/>
      <c r="G710" s="3"/>
      <c r="H710" s="3"/>
      <c r="I710" s="3"/>
      <c r="J710" s="3"/>
    </row>
    <row r="711" ht="12.5" spans="6:10">
      <c r="F711" s="3"/>
      <c r="G711" s="3"/>
      <c r="H711" s="3"/>
      <c r="I711" s="3"/>
      <c r="J711" s="3"/>
    </row>
    <row r="712" ht="12.5" spans="6:10">
      <c r="F712" s="3"/>
      <c r="G712" s="3"/>
      <c r="H712" s="3"/>
      <c r="I712" s="3"/>
      <c r="J712" s="3"/>
    </row>
    <row r="713" ht="12.5" spans="6:10">
      <c r="F713" s="3"/>
      <c r="G713" s="3"/>
      <c r="H713" s="3"/>
      <c r="I713" s="3"/>
      <c r="J713" s="3"/>
    </row>
    <row r="714" ht="12.5" spans="6:10">
      <c r="F714" s="3"/>
      <c r="G714" s="3"/>
      <c r="H714" s="3"/>
      <c r="I714" s="3"/>
      <c r="J714" s="3"/>
    </row>
    <row r="715" ht="12.5" spans="6:10">
      <c r="F715" s="3"/>
      <c r="G715" s="3"/>
      <c r="H715" s="3"/>
      <c r="I715" s="3"/>
      <c r="J715" s="3"/>
    </row>
    <row r="716" ht="12.5" spans="6:10">
      <c r="F716" s="3"/>
      <c r="G716" s="3"/>
      <c r="H716" s="3"/>
      <c r="I716" s="3"/>
      <c r="J716" s="3"/>
    </row>
    <row r="717" ht="12.5" spans="6:10">
      <c r="F717" s="3"/>
      <c r="G717" s="3"/>
      <c r="H717" s="3"/>
      <c r="I717" s="3"/>
      <c r="J717" s="3"/>
    </row>
    <row r="718" ht="12.5" spans="6:10">
      <c r="F718" s="3"/>
      <c r="G718" s="3"/>
      <c r="H718" s="3"/>
      <c r="I718" s="3"/>
      <c r="J718" s="3"/>
    </row>
    <row r="719" ht="12.5" spans="6:10">
      <c r="F719" s="3"/>
      <c r="G719" s="3"/>
      <c r="H719" s="3"/>
      <c r="I719" s="3"/>
      <c r="J719" s="3"/>
    </row>
    <row r="720" ht="12.5" spans="6:10">
      <c r="F720" s="3"/>
      <c r="G720" s="3"/>
      <c r="H720" s="3"/>
      <c r="I720" s="3"/>
      <c r="J720" s="3"/>
    </row>
    <row r="721" ht="12.5" spans="6:10">
      <c r="F721" s="3"/>
      <c r="G721" s="3"/>
      <c r="H721" s="3"/>
      <c r="I721" s="3"/>
      <c r="J721" s="3"/>
    </row>
    <row r="722" ht="12.5" spans="6:10">
      <c r="F722" s="3"/>
      <c r="G722" s="3"/>
      <c r="H722" s="3"/>
      <c r="I722" s="3"/>
      <c r="J722" s="3"/>
    </row>
    <row r="723" ht="12.5" spans="6:10">
      <c r="F723" s="3"/>
      <c r="G723" s="3"/>
      <c r="H723" s="3"/>
      <c r="I723" s="3"/>
      <c r="J723" s="3"/>
    </row>
    <row r="724" ht="12.5" spans="6:10">
      <c r="F724" s="3"/>
      <c r="G724" s="3"/>
      <c r="H724" s="3"/>
      <c r="I724" s="3"/>
      <c r="J724" s="3"/>
    </row>
    <row r="725" ht="12.5" spans="6:10">
      <c r="F725" s="3"/>
      <c r="G725" s="3"/>
      <c r="H725" s="3"/>
      <c r="I725" s="3"/>
      <c r="J725" s="3"/>
    </row>
    <row r="726" ht="12.5" spans="6:10">
      <c r="F726" s="3"/>
      <c r="G726" s="3"/>
      <c r="H726" s="3"/>
      <c r="I726" s="3"/>
      <c r="J726" s="3"/>
    </row>
    <row r="727" ht="12.5" spans="6:10">
      <c r="F727" s="3"/>
      <c r="G727" s="3"/>
      <c r="H727" s="3"/>
      <c r="I727" s="3"/>
      <c r="J727" s="3"/>
    </row>
    <row r="728" ht="12.5" spans="6:10">
      <c r="F728" s="3"/>
      <c r="G728" s="3"/>
      <c r="H728" s="3"/>
      <c r="I728" s="3"/>
      <c r="J728" s="3"/>
    </row>
    <row r="729" ht="12.5" spans="6:10">
      <c r="F729" s="3"/>
      <c r="G729" s="3"/>
      <c r="H729" s="3"/>
      <c r="I729" s="3"/>
      <c r="J729" s="3"/>
    </row>
    <row r="730" ht="12.5" spans="6:10">
      <c r="F730" s="3"/>
      <c r="G730" s="3"/>
      <c r="H730" s="3"/>
      <c r="I730" s="3"/>
      <c r="J730" s="3"/>
    </row>
    <row r="731" ht="12.5" spans="6:10">
      <c r="F731" s="3"/>
      <c r="G731" s="3"/>
      <c r="H731" s="3"/>
      <c r="I731" s="3"/>
      <c r="J731" s="3"/>
    </row>
    <row r="732" ht="12.5" spans="6:10">
      <c r="F732" s="3"/>
      <c r="G732" s="3"/>
      <c r="H732" s="3"/>
      <c r="I732" s="3"/>
      <c r="J732" s="3"/>
    </row>
    <row r="733" ht="12.5" spans="6:10">
      <c r="F733" s="3"/>
      <c r="G733" s="3"/>
      <c r="H733" s="3"/>
      <c r="I733" s="3"/>
      <c r="J733" s="3"/>
    </row>
    <row r="734" ht="12.5" spans="6:10">
      <c r="F734" s="3"/>
      <c r="G734" s="3"/>
      <c r="H734" s="3"/>
      <c r="I734" s="3"/>
      <c r="J734" s="3"/>
    </row>
    <row r="735" ht="12.5" spans="6:10">
      <c r="F735" s="3"/>
      <c r="G735" s="3"/>
      <c r="H735" s="3"/>
      <c r="I735" s="3"/>
      <c r="J735" s="3"/>
    </row>
    <row r="736" ht="12.5" spans="6:10">
      <c r="F736" s="3"/>
      <c r="G736" s="3"/>
      <c r="H736" s="3"/>
      <c r="I736" s="3"/>
      <c r="J736" s="3"/>
    </row>
    <row r="737" ht="12.5" spans="6:10">
      <c r="F737" s="3"/>
      <c r="G737" s="3"/>
      <c r="H737" s="3"/>
      <c r="I737" s="3"/>
      <c r="J737" s="3"/>
    </row>
    <row r="738" ht="12.5" spans="6:10">
      <c r="F738" s="3"/>
      <c r="G738" s="3"/>
      <c r="H738" s="3"/>
      <c r="I738" s="3"/>
      <c r="J738" s="3"/>
    </row>
    <row r="739" ht="12.5" spans="6:10">
      <c r="F739" s="3"/>
      <c r="G739" s="3"/>
      <c r="H739" s="3"/>
      <c r="I739" s="3"/>
      <c r="J739" s="3"/>
    </row>
    <row r="740" ht="12.5" spans="6:10">
      <c r="F740" s="3"/>
      <c r="G740" s="3"/>
      <c r="H740" s="3"/>
      <c r="I740" s="3"/>
      <c r="J740" s="3"/>
    </row>
    <row r="741" ht="12.5" spans="6:10">
      <c r="F741" s="3"/>
      <c r="G741" s="3"/>
      <c r="H741" s="3"/>
      <c r="I741" s="3"/>
      <c r="J741" s="3"/>
    </row>
    <row r="742" ht="12.5" spans="6:10">
      <c r="F742" s="3"/>
      <c r="G742" s="3"/>
      <c r="H742" s="3"/>
      <c r="I742" s="3"/>
      <c r="J742" s="3"/>
    </row>
    <row r="743" ht="12.5" spans="6:10">
      <c r="F743" s="3"/>
      <c r="G743" s="3"/>
      <c r="H743" s="3"/>
      <c r="I743" s="3"/>
      <c r="J743" s="3"/>
    </row>
    <row r="744" ht="12.5" spans="6:10">
      <c r="F744" s="3"/>
      <c r="G744" s="3"/>
      <c r="H744" s="3"/>
      <c r="I744" s="3"/>
      <c r="J744" s="3"/>
    </row>
    <row r="745" ht="12.5" spans="6:10">
      <c r="F745" s="3"/>
      <c r="G745" s="3"/>
      <c r="H745" s="3"/>
      <c r="I745" s="3"/>
      <c r="J745" s="3"/>
    </row>
    <row r="746" ht="12.5" spans="6:10">
      <c r="F746" s="3"/>
      <c r="G746" s="3"/>
      <c r="H746" s="3"/>
      <c r="I746" s="3"/>
      <c r="J746" s="3"/>
    </row>
    <row r="747" ht="12.5" spans="6:10">
      <c r="F747" s="3"/>
      <c r="G747" s="3"/>
      <c r="H747" s="3"/>
      <c r="I747" s="3"/>
      <c r="J747" s="3"/>
    </row>
    <row r="748" ht="12.5" spans="6:10">
      <c r="F748" s="3"/>
      <c r="G748" s="3"/>
      <c r="H748" s="3"/>
      <c r="I748" s="3"/>
      <c r="J748" s="3"/>
    </row>
    <row r="749" ht="12.5" spans="6:10">
      <c r="F749" s="3"/>
      <c r="G749" s="3"/>
      <c r="H749" s="3"/>
      <c r="I749" s="3"/>
      <c r="J749" s="3"/>
    </row>
    <row r="750" ht="12.5" spans="6:10">
      <c r="F750" s="3"/>
      <c r="G750" s="3"/>
      <c r="H750" s="3"/>
      <c r="I750" s="3"/>
      <c r="J750" s="3"/>
    </row>
    <row r="751" ht="12.5" spans="6:10">
      <c r="F751" s="3"/>
      <c r="G751" s="3"/>
      <c r="H751" s="3"/>
      <c r="I751" s="3"/>
      <c r="J751" s="3"/>
    </row>
    <row r="752" ht="12.5" spans="6:10">
      <c r="F752" s="3"/>
      <c r="G752" s="3"/>
      <c r="H752" s="3"/>
      <c r="I752" s="3"/>
      <c r="J752" s="3"/>
    </row>
    <row r="753" ht="12.5" spans="6:10">
      <c r="F753" s="3"/>
      <c r="G753" s="3"/>
      <c r="H753" s="3"/>
      <c r="I753" s="3"/>
      <c r="J753" s="3"/>
    </row>
    <row r="754" ht="12.5" spans="6:10">
      <c r="F754" s="3"/>
      <c r="G754" s="3"/>
      <c r="H754" s="3"/>
      <c r="I754" s="3"/>
      <c r="J754" s="3"/>
    </row>
    <row r="755" ht="12.5" spans="6:10">
      <c r="F755" s="3"/>
      <c r="G755" s="3"/>
      <c r="H755" s="3"/>
      <c r="I755" s="3"/>
      <c r="J755" s="3"/>
    </row>
    <row r="756" ht="12.5" spans="6:10">
      <c r="F756" s="3"/>
      <c r="G756" s="3"/>
      <c r="H756" s="3"/>
      <c r="I756" s="3"/>
      <c r="J756" s="3"/>
    </row>
    <row r="757" ht="12.5" spans="6:10">
      <c r="F757" s="3"/>
      <c r="G757" s="3"/>
      <c r="H757" s="3"/>
      <c r="I757" s="3"/>
      <c r="J757" s="3"/>
    </row>
    <row r="758" ht="12.5" spans="6:10">
      <c r="F758" s="3"/>
      <c r="G758" s="3"/>
      <c r="H758" s="3"/>
      <c r="I758" s="3"/>
      <c r="J758" s="3"/>
    </row>
    <row r="759" ht="12.5" spans="6:10">
      <c r="F759" s="3"/>
      <c r="G759" s="3"/>
      <c r="H759" s="3"/>
      <c r="I759" s="3"/>
      <c r="J759" s="3"/>
    </row>
    <row r="760" ht="12.5" spans="6:10">
      <c r="F760" s="3"/>
      <c r="G760" s="3"/>
      <c r="H760" s="3"/>
      <c r="I760" s="3"/>
      <c r="J760" s="3"/>
    </row>
    <row r="761" ht="12.5" spans="6:10">
      <c r="F761" s="3"/>
      <c r="G761" s="3"/>
      <c r="H761" s="3"/>
      <c r="I761" s="3"/>
      <c r="J761" s="3"/>
    </row>
    <row r="762" ht="12.5" spans="6:10">
      <c r="F762" s="3"/>
      <c r="G762" s="3"/>
      <c r="H762" s="3"/>
      <c r="I762" s="3"/>
      <c r="J762" s="3"/>
    </row>
    <row r="763" ht="12.5" spans="6:10">
      <c r="F763" s="3"/>
      <c r="G763" s="3"/>
      <c r="H763" s="3"/>
      <c r="I763" s="3"/>
      <c r="J763" s="3"/>
    </row>
    <row r="764" ht="12.5" spans="6:10">
      <c r="F764" s="3"/>
      <c r="G764" s="3"/>
      <c r="H764" s="3"/>
      <c r="I764" s="3"/>
      <c r="J764" s="3"/>
    </row>
    <row r="765" ht="12.5" spans="6:10">
      <c r="F765" s="3"/>
      <c r="G765" s="3"/>
      <c r="H765" s="3"/>
      <c r="I765" s="3"/>
      <c r="J765" s="3"/>
    </row>
    <row r="766" ht="12.5" spans="6:10">
      <c r="F766" s="3"/>
      <c r="G766" s="3"/>
      <c r="H766" s="3"/>
      <c r="I766" s="3"/>
      <c r="J766" s="3"/>
    </row>
    <row r="767" ht="12.5" spans="6:10">
      <c r="F767" s="3"/>
      <c r="G767" s="3"/>
      <c r="H767" s="3"/>
      <c r="I767" s="3"/>
      <c r="J767" s="3"/>
    </row>
    <row r="768" ht="12.5" spans="6:10">
      <c r="F768" s="3"/>
      <c r="G768" s="3"/>
      <c r="H768" s="3"/>
      <c r="I768" s="3"/>
      <c r="J768" s="3"/>
    </row>
    <row r="769" ht="12.5" spans="6:10">
      <c r="F769" s="3"/>
      <c r="G769" s="3"/>
      <c r="H769" s="3"/>
      <c r="I769" s="3"/>
      <c r="J769" s="3"/>
    </row>
    <row r="770" ht="12.5" spans="6:10">
      <c r="F770" s="3"/>
      <c r="G770" s="3"/>
      <c r="H770" s="3"/>
      <c r="I770" s="3"/>
      <c r="J770" s="3"/>
    </row>
    <row r="771" ht="12.5" spans="6:10">
      <c r="F771" s="3"/>
      <c r="G771" s="3"/>
      <c r="H771" s="3"/>
      <c r="I771" s="3"/>
      <c r="J771" s="3"/>
    </row>
    <row r="772" ht="12.5" spans="6:10">
      <c r="F772" s="3"/>
      <c r="G772" s="3"/>
      <c r="H772" s="3"/>
      <c r="I772" s="3"/>
      <c r="J772" s="3"/>
    </row>
    <row r="773" ht="12.5" spans="6:10">
      <c r="F773" s="3"/>
      <c r="G773" s="3"/>
      <c r="H773" s="3"/>
      <c r="I773" s="3"/>
      <c r="J773" s="3"/>
    </row>
    <row r="774" ht="12.5" spans="6:10">
      <c r="F774" s="3"/>
      <c r="G774" s="3"/>
      <c r="H774" s="3"/>
      <c r="I774" s="3"/>
      <c r="J774" s="3"/>
    </row>
    <row r="775" ht="12.5" spans="6:10">
      <c r="F775" s="3"/>
      <c r="G775" s="3"/>
      <c r="H775" s="3"/>
      <c r="I775" s="3"/>
      <c r="J775" s="3"/>
    </row>
    <row r="776" ht="12.5" spans="6:10">
      <c r="F776" s="3"/>
      <c r="G776" s="3"/>
      <c r="H776" s="3"/>
      <c r="I776" s="3"/>
      <c r="J776" s="3"/>
    </row>
    <row r="777" ht="12.5" spans="6:10">
      <c r="F777" s="3"/>
      <c r="G777" s="3"/>
      <c r="H777" s="3"/>
      <c r="I777" s="3"/>
      <c r="J777" s="3"/>
    </row>
    <row r="778" ht="12.5" spans="6:10">
      <c r="F778" s="3"/>
      <c r="G778" s="3"/>
      <c r="H778" s="3"/>
      <c r="I778" s="3"/>
      <c r="J778" s="3"/>
    </row>
    <row r="779" ht="12.5" spans="6:10">
      <c r="F779" s="3"/>
      <c r="G779" s="3"/>
      <c r="H779" s="3"/>
      <c r="I779" s="3"/>
      <c r="J779" s="3"/>
    </row>
    <row r="780" ht="12.5" spans="6:10">
      <c r="F780" s="3"/>
      <c r="G780" s="3"/>
      <c r="H780" s="3"/>
      <c r="I780" s="3"/>
      <c r="J780" s="3"/>
    </row>
    <row r="781" ht="12.5" spans="6:10">
      <c r="F781" s="3"/>
      <c r="G781" s="3"/>
      <c r="H781" s="3"/>
      <c r="I781" s="3"/>
      <c r="J781" s="3"/>
    </row>
    <row r="782" ht="12.5" spans="6:10">
      <c r="F782" s="3"/>
      <c r="G782" s="3"/>
      <c r="H782" s="3"/>
      <c r="I782" s="3"/>
      <c r="J782" s="3"/>
    </row>
    <row r="783" ht="12.5" spans="6:10">
      <c r="F783" s="3"/>
      <c r="G783" s="3"/>
      <c r="H783" s="3"/>
      <c r="I783" s="3"/>
      <c r="J783" s="3"/>
    </row>
    <row r="784" ht="12.5" spans="6:10">
      <c r="F784" s="3"/>
      <c r="G784" s="3"/>
      <c r="H784" s="3"/>
      <c r="I784" s="3"/>
      <c r="J784" s="3"/>
    </row>
    <row r="785" ht="12.5" spans="6:10">
      <c r="F785" s="3"/>
      <c r="G785" s="3"/>
      <c r="H785" s="3"/>
      <c r="I785" s="3"/>
      <c r="J785" s="3"/>
    </row>
    <row r="786" ht="12.5" spans="6:10">
      <c r="F786" s="3"/>
      <c r="G786" s="3"/>
      <c r="H786" s="3"/>
      <c r="I786" s="3"/>
      <c r="J786" s="3"/>
    </row>
    <row r="787" ht="12.5" spans="6:10">
      <c r="F787" s="3"/>
      <c r="G787" s="3"/>
      <c r="H787" s="3"/>
      <c r="I787" s="3"/>
      <c r="J787" s="3"/>
    </row>
    <row r="788" ht="12.5" spans="6:10">
      <c r="F788" s="3"/>
      <c r="G788" s="3"/>
      <c r="H788" s="3"/>
      <c r="I788" s="3"/>
      <c r="J788" s="3"/>
    </row>
    <row r="789" ht="12.5" spans="6:10">
      <c r="F789" s="3"/>
      <c r="G789" s="3"/>
      <c r="H789" s="3"/>
      <c r="I789" s="3"/>
      <c r="J789" s="3"/>
    </row>
    <row r="790" ht="12.5" spans="6:10">
      <c r="F790" s="3"/>
      <c r="G790" s="3"/>
      <c r="H790" s="3"/>
      <c r="I790" s="3"/>
      <c r="J790" s="3"/>
    </row>
    <row r="791" ht="12.5" spans="6:10">
      <c r="F791" s="3"/>
      <c r="G791" s="3"/>
      <c r="H791" s="3"/>
      <c r="I791" s="3"/>
      <c r="J791" s="3"/>
    </row>
    <row r="792" ht="12.5" spans="6:10">
      <c r="F792" s="3"/>
      <c r="G792" s="3"/>
      <c r="H792" s="3"/>
      <c r="I792" s="3"/>
      <c r="J792" s="3"/>
    </row>
    <row r="793" ht="12.5" spans="6:10">
      <c r="F793" s="3"/>
      <c r="G793" s="3"/>
      <c r="H793" s="3"/>
      <c r="I793" s="3"/>
      <c r="J793" s="3"/>
    </row>
    <row r="794" ht="12.5" spans="6:10">
      <c r="F794" s="3"/>
      <c r="G794" s="3"/>
      <c r="H794" s="3"/>
      <c r="I794" s="3"/>
      <c r="J794" s="3"/>
    </row>
    <row r="795" ht="12.5" spans="6:10">
      <c r="F795" s="3"/>
      <c r="G795" s="3"/>
      <c r="H795" s="3"/>
      <c r="I795" s="3"/>
      <c r="J795" s="3"/>
    </row>
    <row r="796" ht="12.5" spans="6:10">
      <c r="F796" s="3"/>
      <c r="G796" s="3"/>
      <c r="H796" s="3"/>
      <c r="I796" s="3"/>
      <c r="J796" s="3"/>
    </row>
    <row r="797" ht="12.5" spans="6:10">
      <c r="F797" s="3"/>
      <c r="G797" s="3"/>
      <c r="H797" s="3"/>
      <c r="I797" s="3"/>
      <c r="J797" s="3"/>
    </row>
    <row r="798" ht="12.5" spans="6:10">
      <c r="F798" s="3"/>
      <c r="G798" s="3"/>
      <c r="H798" s="3"/>
      <c r="I798" s="3"/>
      <c r="J798" s="3"/>
    </row>
    <row r="799" ht="12.5" spans="6:10">
      <c r="F799" s="3"/>
      <c r="G799" s="3"/>
      <c r="H799" s="3"/>
      <c r="I799" s="3"/>
      <c r="J799" s="3"/>
    </row>
    <row r="800" ht="12.5" spans="6:10">
      <c r="F800" s="3"/>
      <c r="G800" s="3"/>
      <c r="H800" s="3"/>
      <c r="I800" s="3"/>
      <c r="J800" s="3"/>
    </row>
    <row r="801" ht="12.5" spans="6:10">
      <c r="F801" s="3"/>
      <c r="G801" s="3"/>
      <c r="H801" s="3"/>
      <c r="I801" s="3"/>
      <c r="J801" s="3"/>
    </row>
    <row r="802" ht="12.5" spans="6:10">
      <c r="F802" s="3"/>
      <c r="G802" s="3"/>
      <c r="H802" s="3"/>
      <c r="I802" s="3"/>
      <c r="J802" s="3"/>
    </row>
    <row r="803" ht="12.5" spans="6:10">
      <c r="F803" s="3"/>
      <c r="G803" s="3"/>
      <c r="H803" s="3"/>
      <c r="I803" s="3"/>
      <c r="J803" s="3"/>
    </row>
    <row r="804" ht="12.5" spans="6:10">
      <c r="F804" s="3"/>
      <c r="G804" s="3"/>
      <c r="H804" s="3"/>
      <c r="I804" s="3"/>
      <c r="J804" s="3"/>
    </row>
    <row r="805" ht="12.5" spans="6:10">
      <c r="F805" s="3"/>
      <c r="G805" s="3"/>
      <c r="H805" s="3"/>
      <c r="I805" s="3"/>
      <c r="J805" s="3"/>
    </row>
    <row r="806" ht="12.5" spans="6:10">
      <c r="F806" s="3"/>
      <c r="G806" s="3"/>
      <c r="H806" s="3"/>
      <c r="I806" s="3"/>
      <c r="J806" s="3"/>
    </row>
    <row r="807" ht="12.5" spans="6:10">
      <c r="F807" s="3"/>
      <c r="G807" s="3"/>
      <c r="H807" s="3"/>
      <c r="I807" s="3"/>
      <c r="J807" s="3"/>
    </row>
    <row r="808" ht="12.5" spans="6:10">
      <c r="F808" s="3"/>
      <c r="G808" s="3"/>
      <c r="H808" s="3"/>
      <c r="I808" s="3"/>
      <c r="J808" s="3"/>
    </row>
    <row r="809" ht="12.5" spans="6:10">
      <c r="F809" s="3"/>
      <c r="G809" s="3"/>
      <c r="H809" s="3"/>
      <c r="I809" s="3"/>
      <c r="J809" s="3"/>
    </row>
    <row r="810" ht="12.5" spans="6:10">
      <c r="F810" s="3"/>
      <c r="G810" s="3"/>
      <c r="H810" s="3"/>
      <c r="I810" s="3"/>
      <c r="J810" s="3"/>
    </row>
    <row r="811" ht="12.5" spans="6:10">
      <c r="F811" s="3"/>
      <c r="G811" s="3"/>
      <c r="H811" s="3"/>
      <c r="I811" s="3"/>
      <c r="J811" s="3"/>
    </row>
    <row r="812" ht="12.5" spans="6:10">
      <c r="F812" s="3"/>
      <c r="G812" s="3"/>
      <c r="H812" s="3"/>
      <c r="I812" s="3"/>
      <c r="J812" s="3"/>
    </row>
    <row r="813" ht="12.5" spans="6:10">
      <c r="F813" s="3"/>
      <c r="G813" s="3"/>
      <c r="H813" s="3"/>
      <c r="I813" s="3"/>
      <c r="J813" s="3"/>
    </row>
    <row r="814" ht="12.5" spans="6:10">
      <c r="F814" s="3"/>
      <c r="G814" s="3"/>
      <c r="H814" s="3"/>
      <c r="I814" s="3"/>
      <c r="J814" s="3"/>
    </row>
    <row r="815" ht="12.5" spans="6:10">
      <c r="F815" s="3"/>
      <c r="G815" s="3"/>
      <c r="H815" s="3"/>
      <c r="I815" s="3"/>
      <c r="J815" s="3"/>
    </row>
    <row r="816" ht="12.5" spans="6:10">
      <c r="F816" s="3"/>
      <c r="G816" s="3"/>
      <c r="H816" s="3"/>
      <c r="I816" s="3"/>
      <c r="J816" s="3"/>
    </row>
    <row r="817" ht="12.5" spans="6:10">
      <c r="F817" s="3"/>
      <c r="G817" s="3"/>
      <c r="H817" s="3"/>
      <c r="I817" s="3"/>
      <c r="J817" s="3"/>
    </row>
    <row r="818" ht="12.5" spans="6:10">
      <c r="F818" s="3"/>
      <c r="G818" s="3"/>
      <c r="H818" s="3"/>
      <c r="I818" s="3"/>
      <c r="J818" s="3"/>
    </row>
    <row r="819" ht="12.5" spans="6:10">
      <c r="F819" s="3"/>
      <c r="G819" s="3"/>
      <c r="H819" s="3"/>
      <c r="I819" s="3"/>
      <c r="J819" s="3"/>
    </row>
    <row r="820" ht="12.5" spans="6:10">
      <c r="F820" s="3"/>
      <c r="G820" s="3"/>
      <c r="H820" s="3"/>
      <c r="I820" s="3"/>
      <c r="J820" s="3"/>
    </row>
    <row r="821" ht="12.5" spans="6:10">
      <c r="F821" s="3"/>
      <c r="G821" s="3"/>
      <c r="H821" s="3"/>
      <c r="I821" s="3"/>
      <c r="J821" s="3"/>
    </row>
    <row r="822" ht="12.5" spans="6:10">
      <c r="F822" s="3"/>
      <c r="G822" s="3"/>
      <c r="H822" s="3"/>
      <c r="I822" s="3"/>
      <c r="J822" s="3"/>
    </row>
    <row r="823" ht="12.5" spans="6:10">
      <c r="F823" s="3"/>
      <c r="G823" s="3"/>
      <c r="H823" s="3"/>
      <c r="I823" s="3"/>
      <c r="J823" s="3"/>
    </row>
    <row r="824" ht="12.5" spans="6:10">
      <c r="F824" s="3"/>
      <c r="G824" s="3"/>
      <c r="H824" s="3"/>
      <c r="I824" s="3"/>
      <c r="J824" s="3"/>
    </row>
    <row r="825" ht="12.5" spans="6:10">
      <c r="F825" s="3"/>
      <c r="G825" s="3"/>
      <c r="H825" s="3"/>
      <c r="I825" s="3"/>
      <c r="J825" s="3"/>
    </row>
    <row r="826" ht="12.5" spans="6:10">
      <c r="F826" s="3"/>
      <c r="G826" s="3"/>
      <c r="H826" s="3"/>
      <c r="I826" s="3"/>
      <c r="J826" s="3"/>
    </row>
    <row r="827" ht="12.5" spans="6:10">
      <c r="F827" s="3"/>
      <c r="G827" s="3"/>
      <c r="H827" s="3"/>
      <c r="I827" s="3"/>
      <c r="J827" s="3"/>
    </row>
    <row r="828" ht="12.5" spans="6:10">
      <c r="F828" s="3"/>
      <c r="G828" s="3"/>
      <c r="H828" s="3"/>
      <c r="I828" s="3"/>
      <c r="J828" s="3"/>
    </row>
    <row r="829" ht="12.5" spans="6:10">
      <c r="F829" s="3"/>
      <c r="G829" s="3"/>
      <c r="H829" s="3"/>
      <c r="I829" s="3"/>
      <c r="J829" s="3"/>
    </row>
    <row r="830" ht="12.5" spans="6:10">
      <c r="F830" s="3"/>
      <c r="G830" s="3"/>
      <c r="H830" s="3"/>
      <c r="I830" s="3"/>
      <c r="J830" s="3"/>
    </row>
    <row r="831" ht="12.5" spans="6:10">
      <c r="F831" s="3"/>
      <c r="G831" s="3"/>
      <c r="H831" s="3"/>
      <c r="I831" s="3"/>
      <c r="J831" s="3"/>
    </row>
    <row r="832" ht="12.5" spans="6:10">
      <c r="F832" s="3"/>
      <c r="G832" s="3"/>
      <c r="H832" s="3"/>
      <c r="I832" s="3"/>
      <c r="J832" s="3"/>
    </row>
    <row r="833" ht="12.5" spans="6:10">
      <c r="F833" s="3"/>
      <c r="G833" s="3"/>
      <c r="H833" s="3"/>
      <c r="I833" s="3"/>
      <c r="J833" s="3"/>
    </row>
    <row r="834" ht="12.5" spans="6:10">
      <c r="F834" s="3"/>
      <c r="G834" s="3"/>
      <c r="H834" s="3"/>
      <c r="I834" s="3"/>
      <c r="J834" s="3"/>
    </row>
    <row r="835" ht="12.5" spans="6:10">
      <c r="F835" s="3"/>
      <c r="G835" s="3"/>
      <c r="H835" s="3"/>
      <c r="I835" s="3"/>
      <c r="J835" s="3"/>
    </row>
    <row r="836" ht="12.5" spans="6:10">
      <c r="F836" s="3"/>
      <c r="G836" s="3"/>
      <c r="H836" s="3"/>
      <c r="I836" s="3"/>
      <c r="J836" s="3"/>
    </row>
    <row r="837" ht="12.5" spans="6:10">
      <c r="F837" s="3"/>
      <c r="G837" s="3"/>
      <c r="H837" s="3"/>
      <c r="I837" s="3"/>
      <c r="J837" s="3"/>
    </row>
    <row r="838" ht="12.5" spans="6:10">
      <c r="F838" s="3"/>
      <c r="G838" s="3"/>
      <c r="H838" s="3"/>
      <c r="I838" s="3"/>
      <c r="J838" s="3"/>
    </row>
    <row r="839" ht="12.5" spans="6:10">
      <c r="F839" s="3"/>
      <c r="G839" s="3"/>
      <c r="H839" s="3"/>
      <c r="I839" s="3"/>
      <c r="J839" s="3"/>
    </row>
    <row r="840" ht="12.5" spans="6:10">
      <c r="F840" s="3"/>
      <c r="G840" s="3"/>
      <c r="H840" s="3"/>
      <c r="I840" s="3"/>
      <c r="J840" s="3"/>
    </row>
    <row r="841" ht="12.5" spans="6:10">
      <c r="F841" s="3"/>
      <c r="G841" s="3"/>
      <c r="H841" s="3"/>
      <c r="I841" s="3"/>
      <c r="J841" s="3"/>
    </row>
    <row r="842" ht="12.5" spans="6:10">
      <c r="F842" s="3"/>
      <c r="G842" s="3"/>
      <c r="H842" s="3"/>
      <c r="I842" s="3"/>
      <c r="J842" s="3"/>
    </row>
    <row r="843" ht="12.5" spans="6:10">
      <c r="F843" s="3"/>
      <c r="G843" s="3"/>
      <c r="H843" s="3"/>
      <c r="I843" s="3"/>
      <c r="J843" s="3"/>
    </row>
    <row r="844" ht="12.5" spans="6:10">
      <c r="F844" s="3"/>
      <c r="G844" s="3"/>
      <c r="H844" s="3"/>
      <c r="I844" s="3"/>
      <c r="J844" s="3"/>
    </row>
    <row r="845" ht="12.5" spans="6:10">
      <c r="F845" s="3"/>
      <c r="G845" s="3"/>
      <c r="H845" s="3"/>
      <c r="I845" s="3"/>
      <c r="J845" s="3"/>
    </row>
    <row r="846" ht="12.5" spans="6:10">
      <c r="F846" s="3"/>
      <c r="G846" s="3"/>
      <c r="H846" s="3"/>
      <c r="I846" s="3"/>
      <c r="J846" s="3"/>
    </row>
    <row r="847" ht="12.5" spans="6:10">
      <c r="F847" s="3"/>
      <c r="G847" s="3"/>
      <c r="H847" s="3"/>
      <c r="I847" s="3"/>
      <c r="J847" s="3"/>
    </row>
    <row r="848" ht="12.5" spans="6:10">
      <c r="F848" s="3"/>
      <c r="G848" s="3"/>
      <c r="H848" s="3"/>
      <c r="I848" s="3"/>
      <c r="J848" s="3"/>
    </row>
    <row r="849" ht="12.5" spans="6:10">
      <c r="F849" s="3"/>
      <c r="G849" s="3"/>
      <c r="H849" s="3"/>
      <c r="I849" s="3"/>
      <c r="J849" s="3"/>
    </row>
    <row r="850" ht="12.5" spans="6:10">
      <c r="F850" s="3"/>
      <c r="G850" s="3"/>
      <c r="H850" s="3"/>
      <c r="I850" s="3"/>
      <c r="J850" s="3"/>
    </row>
    <row r="851" ht="12.5" spans="6:10">
      <c r="F851" s="3"/>
      <c r="G851" s="3"/>
      <c r="H851" s="3"/>
      <c r="I851" s="3"/>
      <c r="J851" s="3"/>
    </row>
    <row r="852" ht="12.5" spans="6:10">
      <c r="F852" s="3"/>
      <c r="G852" s="3"/>
      <c r="H852" s="3"/>
      <c r="I852" s="3"/>
      <c r="J852" s="3"/>
    </row>
    <row r="853" ht="12.5" spans="6:10">
      <c r="F853" s="3"/>
      <c r="G853" s="3"/>
      <c r="H853" s="3"/>
      <c r="I853" s="3"/>
      <c r="J853" s="3"/>
    </row>
    <row r="854" ht="12.5" spans="6:10">
      <c r="F854" s="3"/>
      <c r="G854" s="3"/>
      <c r="H854" s="3"/>
      <c r="I854" s="3"/>
      <c r="J854" s="3"/>
    </row>
    <row r="855" ht="12.5" spans="6:10">
      <c r="F855" s="3"/>
      <c r="G855" s="3"/>
      <c r="H855" s="3"/>
      <c r="I855" s="3"/>
      <c r="J855" s="3"/>
    </row>
    <row r="856" ht="12.5" spans="6:10">
      <c r="F856" s="3"/>
      <c r="G856" s="3"/>
      <c r="H856" s="3"/>
      <c r="I856" s="3"/>
      <c r="J856" s="3"/>
    </row>
    <row r="857" ht="12.5" spans="6:10">
      <c r="F857" s="3"/>
      <c r="G857" s="3"/>
      <c r="H857" s="3"/>
      <c r="I857" s="3"/>
      <c r="J857" s="3"/>
    </row>
    <row r="858" ht="12.5" spans="6:10">
      <c r="F858" s="3"/>
      <c r="G858" s="3"/>
      <c r="H858" s="3"/>
      <c r="I858" s="3"/>
      <c r="J858" s="3"/>
    </row>
    <row r="859" ht="12.5" spans="6:10">
      <c r="F859" s="3"/>
      <c r="G859" s="3"/>
      <c r="H859" s="3"/>
      <c r="I859" s="3"/>
      <c r="J859" s="3"/>
    </row>
    <row r="860" ht="12.5" spans="6:10">
      <c r="F860" s="3"/>
      <c r="G860" s="3"/>
      <c r="H860" s="3"/>
      <c r="I860" s="3"/>
      <c r="J860" s="3"/>
    </row>
    <row r="861" ht="12.5" spans="6:10">
      <c r="F861" s="3"/>
      <c r="G861" s="3"/>
      <c r="H861" s="3"/>
      <c r="I861" s="3"/>
      <c r="J861" s="3"/>
    </row>
    <row r="862" ht="12.5" spans="6:10">
      <c r="F862" s="3"/>
      <c r="G862" s="3"/>
      <c r="H862" s="3"/>
      <c r="I862" s="3"/>
      <c r="J862" s="3"/>
    </row>
    <row r="863" ht="12.5" spans="6:10">
      <c r="F863" s="3"/>
      <c r="G863" s="3"/>
      <c r="H863" s="3"/>
      <c r="I863" s="3"/>
      <c r="J863" s="3"/>
    </row>
    <row r="864" ht="12.5" spans="6:10">
      <c r="F864" s="3"/>
      <c r="G864" s="3"/>
      <c r="H864" s="3"/>
      <c r="I864" s="3"/>
      <c r="J864" s="3"/>
    </row>
    <row r="865" ht="12.5" spans="6:10">
      <c r="F865" s="3"/>
      <c r="G865" s="3"/>
      <c r="H865" s="3"/>
      <c r="I865" s="3"/>
      <c r="J865" s="3"/>
    </row>
    <row r="866" ht="12.5" spans="6:10">
      <c r="F866" s="3"/>
      <c r="G866" s="3"/>
      <c r="H866" s="3"/>
      <c r="I866" s="3"/>
      <c r="J866" s="3"/>
    </row>
    <row r="867" ht="12.5" spans="6:10">
      <c r="F867" s="3"/>
      <c r="G867" s="3"/>
      <c r="H867" s="3"/>
      <c r="I867" s="3"/>
      <c r="J867" s="3"/>
    </row>
    <row r="868" ht="12.5" spans="6:10">
      <c r="F868" s="3"/>
      <c r="G868" s="3"/>
      <c r="H868" s="3"/>
      <c r="I868" s="3"/>
      <c r="J868" s="3"/>
    </row>
    <row r="869" ht="12.5" spans="6:10">
      <c r="F869" s="3"/>
      <c r="G869" s="3"/>
      <c r="H869" s="3"/>
      <c r="I869" s="3"/>
      <c r="J869" s="3"/>
    </row>
    <row r="870" ht="12.5" spans="6:10">
      <c r="F870" s="3"/>
      <c r="G870" s="3"/>
      <c r="H870" s="3"/>
      <c r="I870" s="3"/>
      <c r="J870" s="3"/>
    </row>
    <row r="871" ht="12.5" spans="6:10">
      <c r="F871" s="3"/>
      <c r="G871" s="3"/>
      <c r="H871" s="3"/>
      <c r="I871" s="3"/>
      <c r="J871" s="3"/>
    </row>
    <row r="872" ht="12.5" spans="6:10">
      <c r="F872" s="3"/>
      <c r="G872" s="3"/>
      <c r="H872" s="3"/>
      <c r="I872" s="3"/>
      <c r="J872" s="3"/>
    </row>
    <row r="873" ht="12.5" spans="6:10">
      <c r="F873" s="3"/>
      <c r="G873" s="3"/>
      <c r="H873" s="3"/>
      <c r="I873" s="3"/>
      <c r="J873" s="3"/>
    </row>
    <row r="874" ht="12.5" spans="6:10">
      <c r="F874" s="3"/>
      <c r="G874" s="3"/>
      <c r="H874" s="3"/>
      <c r="I874" s="3"/>
      <c r="J874" s="3"/>
    </row>
    <row r="875" ht="12.5" spans="6:10">
      <c r="F875" s="3"/>
      <c r="G875" s="3"/>
      <c r="H875" s="3"/>
      <c r="I875" s="3"/>
      <c r="J875" s="3"/>
    </row>
    <row r="876" ht="12.5" spans="6:10">
      <c r="F876" s="3"/>
      <c r="G876" s="3"/>
      <c r="H876" s="3"/>
      <c r="I876" s="3"/>
      <c r="J876" s="3"/>
    </row>
    <row r="877" ht="12.5" spans="6:10">
      <c r="F877" s="3"/>
      <c r="G877" s="3"/>
      <c r="H877" s="3"/>
      <c r="I877" s="3"/>
      <c r="J877" s="3"/>
    </row>
    <row r="878" ht="12.5" spans="6:10">
      <c r="F878" s="3"/>
      <c r="G878" s="3"/>
      <c r="H878" s="3"/>
      <c r="I878" s="3"/>
      <c r="J878" s="3"/>
    </row>
    <row r="879" ht="12.5" spans="6:10">
      <c r="F879" s="3"/>
      <c r="G879" s="3"/>
      <c r="H879" s="3"/>
      <c r="I879" s="3"/>
      <c r="J879" s="3"/>
    </row>
    <row r="880" ht="12.5" spans="6:10">
      <c r="F880" s="3"/>
      <c r="G880" s="3"/>
      <c r="H880" s="3"/>
      <c r="I880" s="3"/>
      <c r="J880" s="3"/>
    </row>
    <row r="881" ht="12.5" spans="6:10">
      <c r="F881" s="3"/>
      <c r="G881" s="3"/>
      <c r="H881" s="3"/>
      <c r="I881" s="3"/>
      <c r="J881" s="3"/>
    </row>
    <row r="882" ht="12.5" spans="6:10">
      <c r="F882" s="3"/>
      <c r="G882" s="3"/>
      <c r="H882" s="3"/>
      <c r="I882" s="3"/>
      <c r="J882" s="3"/>
    </row>
    <row r="883" ht="12.5" spans="6:10">
      <c r="F883" s="3"/>
      <c r="G883" s="3"/>
      <c r="H883" s="3"/>
      <c r="I883" s="3"/>
      <c r="J883" s="3"/>
    </row>
    <row r="884" ht="12.5" spans="6:10">
      <c r="F884" s="3"/>
      <c r="G884" s="3"/>
      <c r="H884" s="3"/>
      <c r="I884" s="3"/>
      <c r="J884" s="3"/>
    </row>
    <row r="885" ht="12.5" spans="6:10">
      <c r="F885" s="3"/>
      <c r="G885" s="3"/>
      <c r="H885" s="3"/>
      <c r="I885" s="3"/>
      <c r="J885" s="3"/>
    </row>
    <row r="886" ht="12.5" spans="6:10">
      <c r="F886" s="3"/>
      <c r="G886" s="3"/>
      <c r="H886" s="3"/>
      <c r="I886" s="3"/>
      <c r="J886" s="3"/>
    </row>
    <row r="887" ht="12.5" spans="6:10">
      <c r="F887" s="3"/>
      <c r="G887" s="3"/>
      <c r="H887" s="3"/>
      <c r="I887" s="3"/>
      <c r="J887" s="3"/>
    </row>
    <row r="888" ht="12.5" spans="6:10">
      <c r="F888" s="3"/>
      <c r="G888" s="3"/>
      <c r="H888" s="3"/>
      <c r="I888" s="3"/>
      <c r="J888" s="3"/>
    </row>
    <row r="889" ht="12.5" spans="6:10">
      <c r="F889" s="3"/>
      <c r="G889" s="3"/>
      <c r="H889" s="3"/>
      <c r="I889" s="3"/>
      <c r="J889" s="3"/>
    </row>
    <row r="890" ht="12.5" spans="6:10">
      <c r="F890" s="3"/>
      <c r="G890" s="3"/>
      <c r="H890" s="3"/>
      <c r="I890" s="3"/>
      <c r="J890" s="3"/>
    </row>
    <row r="891" ht="12.5" spans="6:10">
      <c r="F891" s="3"/>
      <c r="G891" s="3"/>
      <c r="H891" s="3"/>
      <c r="I891" s="3"/>
      <c r="J891" s="3"/>
    </row>
    <row r="892" ht="12.5" spans="6:10">
      <c r="F892" s="3"/>
      <c r="G892" s="3"/>
      <c r="H892" s="3"/>
      <c r="I892" s="3"/>
      <c r="J892" s="3"/>
    </row>
    <row r="893" ht="12.5" spans="6:10">
      <c r="F893" s="3"/>
      <c r="G893" s="3"/>
      <c r="H893" s="3"/>
      <c r="I893" s="3"/>
      <c r="J893" s="3"/>
    </row>
    <row r="894" ht="12.5" spans="6:10">
      <c r="F894" s="3"/>
      <c r="G894" s="3"/>
      <c r="H894" s="3"/>
      <c r="I894" s="3"/>
      <c r="J894" s="3"/>
    </row>
    <row r="895" ht="12.5" spans="6:10">
      <c r="F895" s="3"/>
      <c r="G895" s="3"/>
      <c r="H895" s="3"/>
      <c r="I895" s="3"/>
      <c r="J895" s="3"/>
    </row>
    <row r="896" ht="12.5" spans="6:10">
      <c r="F896" s="3"/>
      <c r="G896" s="3"/>
      <c r="H896" s="3"/>
      <c r="I896" s="3"/>
      <c r="J896" s="3"/>
    </row>
    <row r="897" ht="12.5" spans="6:10">
      <c r="F897" s="3"/>
      <c r="G897" s="3"/>
      <c r="H897" s="3"/>
      <c r="I897" s="3"/>
      <c r="J897" s="3"/>
    </row>
    <row r="898" ht="12.5" spans="6:10">
      <c r="F898" s="3"/>
      <c r="G898" s="3"/>
      <c r="H898" s="3"/>
      <c r="I898" s="3"/>
      <c r="J898" s="3"/>
    </row>
    <row r="899" ht="12.5" spans="6:10">
      <c r="F899" s="3"/>
      <c r="G899" s="3"/>
      <c r="H899" s="3"/>
      <c r="I899" s="3"/>
      <c r="J899" s="3"/>
    </row>
    <row r="900" ht="12.5" spans="6:10">
      <c r="F900" s="3"/>
      <c r="G900" s="3"/>
      <c r="H900" s="3"/>
      <c r="I900" s="3"/>
      <c r="J900" s="3"/>
    </row>
    <row r="901" ht="12.5" spans="6:10">
      <c r="F901" s="3"/>
      <c r="G901" s="3"/>
      <c r="H901" s="3"/>
      <c r="I901" s="3"/>
      <c r="J901" s="3"/>
    </row>
    <row r="902" ht="12.5" spans="6:10">
      <c r="F902" s="3"/>
      <c r="G902" s="3"/>
      <c r="H902" s="3"/>
      <c r="I902" s="3"/>
      <c r="J902" s="3"/>
    </row>
    <row r="903" ht="12.5" spans="6:10">
      <c r="F903" s="3"/>
      <c r="G903" s="3"/>
      <c r="H903" s="3"/>
      <c r="I903" s="3"/>
      <c r="J903" s="3"/>
    </row>
    <row r="904" ht="12.5" spans="6:10">
      <c r="F904" s="3"/>
      <c r="G904" s="3"/>
      <c r="H904" s="3"/>
      <c r="I904" s="3"/>
      <c r="J904" s="3"/>
    </row>
    <row r="905" ht="12.5" spans="6:10">
      <c r="F905" s="3"/>
      <c r="G905" s="3"/>
      <c r="H905" s="3"/>
      <c r="I905" s="3"/>
      <c r="J905" s="3"/>
    </row>
    <row r="906" ht="12.5" spans="6:10">
      <c r="F906" s="3"/>
      <c r="G906" s="3"/>
      <c r="H906" s="3"/>
      <c r="I906" s="3"/>
      <c r="J906" s="3"/>
    </row>
    <row r="907" ht="12.5" spans="6:10">
      <c r="F907" s="3"/>
      <c r="G907" s="3"/>
      <c r="H907" s="3"/>
      <c r="I907" s="3"/>
      <c r="J907" s="3"/>
    </row>
    <row r="908" ht="12.5" spans="6:10">
      <c r="F908" s="3"/>
      <c r="G908" s="3"/>
      <c r="H908" s="3"/>
      <c r="I908" s="3"/>
      <c r="J908" s="3"/>
    </row>
    <row r="909" ht="12.5" spans="6:10">
      <c r="F909" s="3"/>
      <c r="G909" s="3"/>
      <c r="H909" s="3"/>
      <c r="I909" s="3"/>
      <c r="J909" s="3"/>
    </row>
    <row r="910" ht="12.5" spans="6:10">
      <c r="F910" s="3"/>
      <c r="G910" s="3"/>
      <c r="H910" s="3"/>
      <c r="I910" s="3"/>
      <c r="J910" s="3"/>
    </row>
    <row r="911" ht="12.5" spans="6:10">
      <c r="F911" s="3"/>
      <c r="G911" s="3"/>
      <c r="H911" s="3"/>
      <c r="I911" s="3"/>
      <c r="J911" s="3"/>
    </row>
    <row r="912" ht="12.5" spans="6:10">
      <c r="F912" s="3"/>
      <c r="G912" s="3"/>
      <c r="H912" s="3"/>
      <c r="I912" s="3"/>
      <c r="J912" s="3"/>
    </row>
    <row r="913" ht="12.5" spans="6:10">
      <c r="F913" s="3"/>
      <c r="G913" s="3"/>
      <c r="H913" s="3"/>
      <c r="I913" s="3"/>
      <c r="J913" s="3"/>
    </row>
    <row r="914" ht="12.5" spans="6:10">
      <c r="F914" s="3"/>
      <c r="G914" s="3"/>
      <c r="H914" s="3"/>
      <c r="I914" s="3"/>
      <c r="J914" s="3"/>
    </row>
    <row r="915" ht="12.5" spans="6:10">
      <c r="F915" s="3"/>
      <c r="G915" s="3"/>
      <c r="H915" s="3"/>
      <c r="I915" s="3"/>
      <c r="J915" s="3"/>
    </row>
    <row r="916" ht="12.5" spans="6:10">
      <c r="F916" s="3"/>
      <c r="G916" s="3"/>
      <c r="H916" s="3"/>
      <c r="I916" s="3"/>
      <c r="J916" s="3"/>
    </row>
    <row r="917" ht="12.5" spans="6:10">
      <c r="F917" s="3"/>
      <c r="G917" s="3"/>
      <c r="H917" s="3"/>
      <c r="I917" s="3"/>
      <c r="J917" s="3"/>
    </row>
    <row r="918" ht="12.5" spans="6:10">
      <c r="F918" s="3"/>
      <c r="G918" s="3"/>
      <c r="H918" s="3"/>
      <c r="I918" s="3"/>
      <c r="J918" s="3"/>
    </row>
    <row r="919" ht="12.5" spans="6:10">
      <c r="F919" s="3"/>
      <c r="G919" s="3"/>
      <c r="H919" s="3"/>
      <c r="I919" s="3"/>
      <c r="J919" s="3"/>
    </row>
    <row r="920" ht="12.5" spans="6:10">
      <c r="F920" s="3"/>
      <c r="G920" s="3"/>
      <c r="H920" s="3"/>
      <c r="I920" s="3"/>
      <c r="J920" s="3"/>
    </row>
    <row r="921" ht="12.5" spans="6:10">
      <c r="F921" s="3"/>
      <c r="G921" s="3"/>
      <c r="H921" s="3"/>
      <c r="I921" s="3"/>
      <c r="J921" s="3"/>
    </row>
    <row r="922" ht="12.5" spans="6:10">
      <c r="F922" s="3"/>
      <c r="G922" s="3"/>
      <c r="H922" s="3"/>
      <c r="I922" s="3"/>
      <c r="J922" s="3"/>
    </row>
    <row r="923" ht="12.5" spans="6:10">
      <c r="F923" s="3"/>
      <c r="G923" s="3"/>
      <c r="H923" s="3"/>
      <c r="I923" s="3"/>
      <c r="J923" s="3"/>
    </row>
    <row r="924" ht="12.5" spans="6:10">
      <c r="F924" s="3"/>
      <c r="G924" s="3"/>
      <c r="H924" s="3"/>
      <c r="I924" s="3"/>
      <c r="J924" s="3"/>
    </row>
    <row r="925" ht="12.5" spans="6:10">
      <c r="F925" s="3"/>
      <c r="G925" s="3"/>
      <c r="H925" s="3"/>
      <c r="I925" s="3"/>
      <c r="J925" s="3"/>
    </row>
    <row r="926" ht="12.5" spans="6:10">
      <c r="F926" s="3"/>
      <c r="G926" s="3"/>
      <c r="H926" s="3"/>
      <c r="I926" s="3"/>
      <c r="J926" s="3"/>
    </row>
    <row r="927" ht="12.5" spans="6:10">
      <c r="F927" s="3"/>
      <c r="G927" s="3"/>
      <c r="H927" s="3"/>
      <c r="I927" s="3"/>
      <c r="J927" s="3"/>
    </row>
    <row r="928" ht="12.5" spans="6:10">
      <c r="F928" s="3"/>
      <c r="G928" s="3"/>
      <c r="H928" s="3"/>
      <c r="I928" s="3"/>
      <c r="J928" s="3"/>
    </row>
    <row r="929" ht="12.5" spans="6:10">
      <c r="F929" s="3"/>
      <c r="G929" s="3"/>
      <c r="H929" s="3"/>
      <c r="I929" s="3"/>
      <c r="J929" s="3"/>
    </row>
    <row r="930" ht="12.5" spans="6:10">
      <c r="F930" s="3"/>
      <c r="G930" s="3"/>
      <c r="H930" s="3"/>
      <c r="I930" s="3"/>
      <c r="J930" s="3"/>
    </row>
    <row r="931" ht="12.5" spans="6:10">
      <c r="F931" s="3"/>
      <c r="G931" s="3"/>
      <c r="H931" s="3"/>
      <c r="I931" s="3"/>
      <c r="J931" s="3"/>
    </row>
    <row r="932" ht="12.5" spans="6:10">
      <c r="F932" s="3"/>
      <c r="G932" s="3"/>
      <c r="H932" s="3"/>
      <c r="I932" s="3"/>
      <c r="J932" s="3"/>
    </row>
    <row r="933" ht="12.5" spans="6:10">
      <c r="F933" s="3"/>
      <c r="G933" s="3"/>
      <c r="H933" s="3"/>
      <c r="I933" s="3"/>
      <c r="J933" s="3"/>
    </row>
    <row r="934" ht="12.5" spans="6:10">
      <c r="F934" s="3"/>
      <c r="G934" s="3"/>
      <c r="H934" s="3"/>
      <c r="I934" s="3"/>
      <c r="J934" s="3"/>
    </row>
    <row r="935" ht="12.5" spans="6:10">
      <c r="F935" s="3"/>
      <c r="G935" s="3"/>
      <c r="H935" s="3"/>
      <c r="I935" s="3"/>
      <c r="J935" s="3"/>
    </row>
    <row r="936" ht="12.5" spans="6:10">
      <c r="F936" s="3"/>
      <c r="G936" s="3"/>
      <c r="H936" s="3"/>
      <c r="I936" s="3"/>
      <c r="J936" s="3"/>
    </row>
    <row r="937" ht="12.5" spans="6:10">
      <c r="F937" s="3"/>
      <c r="G937" s="3"/>
      <c r="H937" s="3"/>
      <c r="I937" s="3"/>
      <c r="J937" s="3"/>
    </row>
    <row r="938" ht="12.5" spans="6:10">
      <c r="F938" s="3"/>
      <c r="G938" s="3"/>
      <c r="H938" s="3"/>
      <c r="I938" s="3"/>
      <c r="J938" s="3"/>
    </row>
    <row r="939" ht="12.5" spans="6:10">
      <c r="F939" s="3"/>
      <c r="G939" s="3"/>
      <c r="H939" s="3"/>
      <c r="I939" s="3"/>
      <c r="J939" s="3"/>
    </row>
    <row r="940" ht="12.5" spans="6:10">
      <c r="F940" s="3"/>
      <c r="G940" s="3"/>
      <c r="H940" s="3"/>
      <c r="I940" s="3"/>
      <c r="J940" s="3"/>
    </row>
    <row r="941" ht="12.5" spans="6:10">
      <c r="F941" s="3"/>
      <c r="G941" s="3"/>
      <c r="H941" s="3"/>
      <c r="I941" s="3"/>
      <c r="J941" s="3"/>
    </row>
    <row r="942" ht="12.5" spans="6:10">
      <c r="F942" s="3"/>
      <c r="G942" s="3"/>
      <c r="H942" s="3"/>
      <c r="I942" s="3"/>
      <c r="J942" s="3"/>
    </row>
    <row r="943" ht="12.5" spans="6:10">
      <c r="F943" s="3"/>
      <c r="G943" s="3"/>
      <c r="H943" s="3"/>
      <c r="I943" s="3"/>
      <c r="J943" s="3"/>
    </row>
    <row r="944" ht="12.5" spans="6:10">
      <c r="F944" s="3"/>
      <c r="G944" s="3"/>
      <c r="H944" s="3"/>
      <c r="I944" s="3"/>
      <c r="J944" s="3"/>
    </row>
    <row r="945" ht="12.5" spans="6:10">
      <c r="F945" s="3"/>
      <c r="G945" s="3"/>
      <c r="H945" s="3"/>
      <c r="I945" s="3"/>
      <c r="J945" s="3"/>
    </row>
    <row r="946" ht="12.5" spans="6:10">
      <c r="F946" s="3"/>
      <c r="G946" s="3"/>
      <c r="H946" s="3"/>
      <c r="I946" s="3"/>
      <c r="J946" s="3"/>
    </row>
    <row r="947" ht="12.5" spans="6:10">
      <c r="F947" s="3"/>
      <c r="G947" s="3"/>
      <c r="H947" s="3"/>
      <c r="I947" s="3"/>
      <c r="J947" s="3"/>
    </row>
    <row r="948" ht="12.5" spans="6:10">
      <c r="F948" s="3"/>
      <c r="G948" s="3"/>
      <c r="H948" s="3"/>
      <c r="I948" s="3"/>
      <c r="J948" s="3"/>
    </row>
    <row r="949" ht="12.5" spans="6:10">
      <c r="F949" s="3"/>
      <c r="G949" s="3"/>
      <c r="H949" s="3"/>
      <c r="I949" s="3"/>
      <c r="J949" s="3"/>
    </row>
    <row r="950" ht="12.5" spans="6:10">
      <c r="F950" s="3"/>
      <c r="G950" s="3"/>
      <c r="H950" s="3"/>
      <c r="I950" s="3"/>
      <c r="J950" s="3"/>
    </row>
    <row r="951" ht="12.5" spans="6:10">
      <c r="F951" s="3"/>
      <c r="G951" s="3"/>
      <c r="H951" s="3"/>
      <c r="I951" s="3"/>
      <c r="J951" s="3"/>
    </row>
    <row r="952" ht="12.5" spans="6:10">
      <c r="F952" s="3"/>
      <c r="G952" s="3"/>
      <c r="H952" s="3"/>
      <c r="I952" s="3"/>
      <c r="J952" s="3"/>
    </row>
    <row r="953" ht="12.5" spans="6:10">
      <c r="F953" s="3"/>
      <c r="G953" s="3"/>
      <c r="H953" s="3"/>
      <c r="I953" s="3"/>
      <c r="J953" s="3"/>
    </row>
    <row r="954" ht="12.5" spans="6:10">
      <c r="F954" s="3"/>
      <c r="G954" s="3"/>
      <c r="H954" s="3"/>
      <c r="I954" s="3"/>
      <c r="J954" s="3"/>
    </row>
    <row r="955" ht="12.5" spans="6:10">
      <c r="F955" s="3"/>
      <c r="G955" s="3"/>
      <c r="H955" s="3"/>
      <c r="I955" s="3"/>
      <c r="J955" s="3"/>
    </row>
    <row r="956" ht="12.5" spans="6:10">
      <c r="F956" s="3"/>
      <c r="G956" s="3"/>
      <c r="H956" s="3"/>
      <c r="I956" s="3"/>
      <c r="J956" s="3"/>
    </row>
    <row r="957" ht="12.5" spans="6:10">
      <c r="F957" s="3"/>
      <c r="G957" s="3"/>
      <c r="H957" s="3"/>
      <c r="I957" s="3"/>
      <c r="J957" s="3"/>
    </row>
    <row r="958" ht="12.5" spans="6:10">
      <c r="F958" s="3"/>
      <c r="G958" s="3"/>
      <c r="H958" s="3"/>
      <c r="I958" s="3"/>
      <c r="J958" s="3"/>
    </row>
    <row r="959" ht="12.5" spans="6:10">
      <c r="F959" s="3"/>
      <c r="G959" s="3"/>
      <c r="H959" s="3"/>
      <c r="I959" s="3"/>
      <c r="J959" s="3"/>
    </row>
    <row r="960" ht="12.5" spans="6:10">
      <c r="F960" s="3"/>
      <c r="G960" s="3"/>
      <c r="H960" s="3"/>
      <c r="I960" s="3"/>
      <c r="J960" s="3"/>
    </row>
    <row r="961" ht="12.5" spans="6:10">
      <c r="F961" s="3"/>
      <c r="G961" s="3"/>
      <c r="H961" s="3"/>
      <c r="I961" s="3"/>
      <c r="J961" s="3"/>
    </row>
    <row r="962" ht="12.5" spans="6:10">
      <c r="F962" s="3"/>
      <c r="G962" s="3"/>
      <c r="H962" s="3"/>
      <c r="I962" s="3"/>
      <c r="J962" s="3"/>
    </row>
    <row r="963" ht="12.5" spans="6:10">
      <c r="F963" s="3"/>
      <c r="G963" s="3"/>
      <c r="H963" s="3"/>
      <c r="I963" s="3"/>
      <c r="J963" s="3"/>
    </row>
    <row r="964" ht="12.5" spans="6:10">
      <c r="F964" s="3"/>
      <c r="G964" s="3"/>
      <c r="H964" s="3"/>
      <c r="I964" s="3"/>
      <c r="J964" s="3"/>
    </row>
    <row r="965" ht="12.5" spans="6:10">
      <c r="F965" s="3"/>
      <c r="G965" s="3"/>
      <c r="H965" s="3"/>
      <c r="I965" s="3"/>
      <c r="J965" s="3"/>
    </row>
    <row r="966" ht="12.5" spans="6:10">
      <c r="F966" s="3"/>
      <c r="G966" s="3"/>
      <c r="H966" s="3"/>
      <c r="I966" s="3"/>
      <c r="J966" s="3"/>
    </row>
    <row r="967" ht="12.5" spans="6:10">
      <c r="F967" s="3"/>
      <c r="G967" s="3"/>
      <c r="H967" s="3"/>
      <c r="I967" s="3"/>
      <c r="J967" s="3"/>
    </row>
    <row r="968" ht="12.5" spans="6:10">
      <c r="F968" s="3"/>
      <c r="G968" s="3"/>
      <c r="H968" s="3"/>
      <c r="I968" s="3"/>
      <c r="J968" s="3"/>
    </row>
    <row r="969" ht="12.5" spans="6:10">
      <c r="F969" s="3"/>
      <c r="G969" s="3"/>
      <c r="H969" s="3"/>
      <c r="I969" s="3"/>
      <c r="J969" s="3"/>
    </row>
    <row r="970" ht="12.5" spans="6:10">
      <c r="F970" s="3"/>
      <c r="G970" s="3"/>
      <c r="H970" s="3"/>
      <c r="I970" s="3"/>
      <c r="J970" s="3"/>
    </row>
    <row r="971" ht="12.5" spans="6:10">
      <c r="F971" s="3"/>
      <c r="G971" s="3"/>
      <c r="H971" s="3"/>
      <c r="I971" s="3"/>
      <c r="J971" s="3"/>
    </row>
    <row r="972" ht="12.5" spans="6:10">
      <c r="F972" s="3"/>
      <c r="G972" s="3"/>
      <c r="H972" s="3"/>
      <c r="I972" s="3"/>
      <c r="J972" s="3"/>
    </row>
    <row r="973" ht="12.5" spans="6:10">
      <c r="F973" s="3"/>
      <c r="G973" s="3"/>
      <c r="H973" s="3"/>
      <c r="I973" s="3"/>
      <c r="J973" s="3"/>
    </row>
    <row r="974" ht="12.5" spans="6:10">
      <c r="F974" s="3"/>
      <c r="G974" s="3"/>
      <c r="H974" s="3"/>
      <c r="I974" s="3"/>
      <c r="J974" s="3"/>
    </row>
    <row r="975" ht="12.5" spans="6:10">
      <c r="F975" s="3"/>
      <c r="G975" s="3"/>
      <c r="H975" s="3"/>
      <c r="I975" s="3"/>
      <c r="J975" s="3"/>
    </row>
    <row r="976" ht="12.5" spans="6:10">
      <c r="F976" s="3"/>
      <c r="G976" s="3"/>
      <c r="H976" s="3"/>
      <c r="I976" s="3"/>
      <c r="J976" s="3"/>
    </row>
    <row r="977" ht="12.5" spans="6:10">
      <c r="F977" s="3"/>
      <c r="G977" s="3"/>
      <c r="H977" s="3"/>
      <c r="I977" s="3"/>
      <c r="J977" s="3"/>
    </row>
    <row r="978" ht="12.5" spans="6:10">
      <c r="F978" s="3"/>
      <c r="G978" s="3"/>
      <c r="H978" s="3"/>
      <c r="I978" s="3"/>
      <c r="J978" s="3"/>
    </row>
    <row r="979" ht="12.5" spans="6:10">
      <c r="F979" s="3"/>
      <c r="G979" s="3"/>
      <c r="H979" s="3"/>
      <c r="I979" s="3"/>
      <c r="J979" s="3"/>
    </row>
    <row r="980" ht="12.5" spans="6:10">
      <c r="F980" s="3"/>
      <c r="G980" s="3"/>
      <c r="H980" s="3"/>
      <c r="I980" s="3"/>
      <c r="J980" s="3"/>
    </row>
    <row r="981" ht="12.5" spans="6:10">
      <c r="F981" s="3"/>
      <c r="G981" s="3"/>
      <c r="H981" s="3"/>
      <c r="I981" s="3"/>
      <c r="J981" s="3"/>
    </row>
    <row r="982" ht="12.5" spans="6:10">
      <c r="F982" s="3"/>
      <c r="G982" s="3"/>
      <c r="H982" s="3"/>
      <c r="I982" s="3"/>
      <c r="J982" s="3"/>
    </row>
    <row r="983" ht="12.5" spans="6:10">
      <c r="F983" s="3"/>
      <c r="G983" s="3"/>
      <c r="H983" s="3"/>
      <c r="I983" s="3"/>
      <c r="J983" s="3"/>
    </row>
    <row r="984" ht="12.5" spans="6:10">
      <c r="F984" s="3"/>
      <c r="G984" s="3"/>
      <c r="H984" s="3"/>
      <c r="I984" s="3"/>
      <c r="J984" s="3"/>
    </row>
    <row r="985" ht="12.5" spans="6:10">
      <c r="F985" s="3"/>
      <c r="G985" s="3"/>
      <c r="H985" s="3"/>
      <c r="I985" s="3"/>
      <c r="J985" s="3"/>
    </row>
    <row r="986" ht="12.5" spans="6:10">
      <c r="F986" s="3"/>
      <c r="G986" s="3"/>
      <c r="H986" s="3"/>
      <c r="I986" s="3"/>
      <c r="J986" s="3"/>
    </row>
    <row r="987" ht="12.5" spans="6:10">
      <c r="F987" s="3"/>
      <c r="G987" s="3"/>
      <c r="H987" s="3"/>
      <c r="I987" s="3"/>
      <c r="J987" s="3"/>
    </row>
    <row r="988" ht="12.5" spans="6:10">
      <c r="F988" s="3"/>
      <c r="G988" s="3"/>
      <c r="H988" s="3"/>
      <c r="I988" s="3"/>
      <c r="J988" s="3"/>
    </row>
    <row r="989" ht="12.5" spans="6:10">
      <c r="F989" s="3"/>
      <c r="G989" s="3"/>
      <c r="H989" s="3"/>
      <c r="I989" s="3"/>
      <c r="J989" s="3"/>
    </row>
    <row r="990" ht="12.5" spans="6:10">
      <c r="F990" s="3"/>
      <c r="G990" s="3"/>
      <c r="H990" s="3"/>
      <c r="I990" s="3"/>
      <c r="J990" s="3"/>
    </row>
    <row r="991" ht="12.5" spans="6:10">
      <c r="F991" s="3"/>
      <c r="G991" s="3"/>
      <c r="H991" s="3"/>
      <c r="I991" s="3"/>
      <c r="J991" s="3"/>
    </row>
    <row r="992" ht="12.5" spans="6:10">
      <c r="F992" s="3"/>
      <c r="G992" s="3"/>
      <c r="H992" s="3"/>
      <c r="I992" s="3"/>
      <c r="J992" s="3"/>
    </row>
    <row r="993" ht="12.5" spans="6:10">
      <c r="F993" s="3"/>
      <c r="G993" s="3"/>
      <c r="H993" s="3"/>
      <c r="I993" s="3"/>
      <c r="J993" s="3"/>
    </row>
    <row r="994" ht="12.5" spans="6:10">
      <c r="F994" s="3"/>
      <c r="G994" s="3"/>
      <c r="H994" s="3"/>
      <c r="I994" s="3"/>
      <c r="J994" s="3"/>
    </row>
    <row r="995" ht="12.5" spans="6:10">
      <c r="F995" s="3"/>
      <c r="G995" s="3"/>
      <c r="H995" s="3"/>
      <c r="I995" s="3"/>
      <c r="J995" s="3"/>
    </row>
    <row r="996" ht="12.5" spans="6:10">
      <c r="F996" s="3"/>
      <c r="G996" s="3"/>
      <c r="H996" s="3"/>
      <c r="I996" s="3"/>
      <c r="J996" s="3"/>
    </row>
    <row r="997" ht="12.5" spans="6:10">
      <c r="F997" s="3"/>
      <c r="G997" s="3"/>
      <c r="H997" s="3"/>
      <c r="I997" s="3"/>
      <c r="J997" s="3"/>
    </row>
    <row r="998" ht="12.5" spans="6:10">
      <c r="F998" s="3"/>
      <c r="G998" s="3"/>
      <c r="H998" s="3"/>
      <c r="I998" s="3"/>
      <c r="J998" s="3"/>
    </row>
    <row r="999" ht="12.5" spans="6:10">
      <c r="F999" s="3"/>
      <c r="G999" s="3"/>
      <c r="H999" s="3"/>
      <c r="I999" s="3"/>
      <c r="J999" s="3"/>
    </row>
    <row r="1000" ht="12.5" spans="6:10">
      <c r="F1000" s="3"/>
      <c r="G1000" s="3"/>
      <c r="H1000" s="3"/>
      <c r="I1000" s="3"/>
      <c r="J1000" s="3"/>
    </row>
    <row r="1001" ht="12.5" spans="6:10">
      <c r="F1001" s="3"/>
      <c r="G1001" s="3"/>
      <c r="H1001" s="3"/>
      <c r="I1001" s="3"/>
      <c r="J1001" s="3"/>
    </row>
    <row r="1002" ht="12.5" spans="6:10">
      <c r="F1002" s="3"/>
      <c r="G1002" s="3"/>
      <c r="H1002" s="3"/>
      <c r="I1002" s="3"/>
      <c r="J1002" s="3"/>
    </row>
    <row r="1003" ht="12.5" spans="6:10">
      <c r="F1003" s="3"/>
      <c r="G1003" s="3"/>
      <c r="H1003" s="3"/>
      <c r="I1003" s="3"/>
      <c r="J1003" s="3"/>
    </row>
    <row r="1004" ht="12.5" spans="6:10">
      <c r="F1004" s="3"/>
      <c r="G1004" s="3"/>
      <c r="H1004" s="3"/>
      <c r="I1004" s="3"/>
      <c r="J1004" s="3"/>
    </row>
  </sheetData>
  <mergeCells count="5">
    <mergeCell ref="D4:E4"/>
    <mergeCell ref="A15:B15"/>
    <mergeCell ref="A16:B16"/>
    <mergeCell ref="F46:G46"/>
    <mergeCell ref="A8:A10"/>
  </mergeCells>
  <dataValidations count="4">
    <dataValidation type="list" allowBlank="1" showErrorMessage="1" sqref="B1">
      <formula1>$F$31:$F$40</formula1>
    </dataValidation>
    <dataValidation type="list" allowBlank="1" showErrorMessage="1" sqref="B2">
      <formula1>$F$24:$F$27</formula1>
    </dataValidation>
    <dataValidation type="list" allowBlank="1" showErrorMessage="1" sqref="B3">
      <formula1>$B$22:$B$40</formula1>
    </dataValidation>
    <dataValidation type="list" allowBlank="1" showErrorMessage="1" sqref="B4">
      <formula1>$Q$24:$Q$64</formula1>
    </dataValidation>
  </dataValidations>
  <hyperlinks>
    <hyperlink ref="I22" r:id="rId4" location="gid=638373003" display="storage fee by country"/>
    <hyperlink ref="J30" r:id="rId5" display="FX- 8.15"/>
    <hyperlink ref="C44" r:id="rId6" display="raw data"/>
  </hyperlinks>
  <pageMargins left="0.7" right="0.7" top="0.75" bottom="0.75" header="0.3" footer="0.3"/>
  <headerFooter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25"/>
  <sheetViews>
    <sheetView workbookViewId="0">
      <selection activeCell="A1" sqref="A1:H1"/>
    </sheetView>
  </sheetViews>
  <sheetFormatPr defaultColWidth="12.6636363636364" defaultRowHeight="15.75" customHeight="1" outlineLevelCol="7"/>
  <sheetData>
    <row r="1" ht="13" spans="1:1">
      <c r="A1" s="64" t="s">
        <v>491</v>
      </c>
    </row>
    <row r="2" ht="13" spans="1:8">
      <c r="A2" s="72" t="s">
        <v>492</v>
      </c>
      <c r="B2" s="73"/>
      <c r="C2" s="73"/>
      <c r="D2" s="73"/>
      <c r="E2" s="73"/>
      <c r="F2" s="73"/>
      <c r="G2" s="73"/>
      <c r="H2" s="74"/>
    </row>
    <row r="3" ht="12.5" spans="1:8">
      <c r="A3" s="75"/>
      <c r="B3" s="3" t="s">
        <v>1</v>
      </c>
      <c r="C3" s="3" t="s">
        <v>48</v>
      </c>
      <c r="D3" s="52" t="s">
        <v>46</v>
      </c>
      <c r="E3" s="52" t="s">
        <v>53</v>
      </c>
      <c r="F3" s="52" t="s">
        <v>55</v>
      </c>
      <c r="G3" s="52" t="s">
        <v>51</v>
      </c>
      <c r="H3" s="76" t="s">
        <v>486</v>
      </c>
    </row>
    <row r="4" ht="25" spans="1:8">
      <c r="A4" s="77" t="s">
        <v>493</v>
      </c>
      <c r="B4" s="52">
        <v>310</v>
      </c>
      <c r="C4" s="52">
        <v>380</v>
      </c>
      <c r="D4" s="52">
        <v>480</v>
      </c>
      <c r="E4" s="52">
        <v>380</v>
      </c>
      <c r="F4" s="52">
        <v>1000</v>
      </c>
      <c r="G4" s="52">
        <v>230</v>
      </c>
      <c r="H4" s="76"/>
    </row>
    <row r="5" ht="25" spans="1:8">
      <c r="A5" s="77" t="s">
        <v>494</v>
      </c>
      <c r="B5" s="78">
        <v>0.001</v>
      </c>
      <c r="C5" s="79">
        <v>0.001</v>
      </c>
      <c r="D5" s="79">
        <v>0.001</v>
      </c>
      <c r="E5" s="79">
        <v>0.001</v>
      </c>
      <c r="F5" s="79">
        <v>0.001</v>
      </c>
      <c r="G5" s="79">
        <v>0.001</v>
      </c>
      <c r="H5" s="76"/>
    </row>
    <row r="6" ht="14" spans="1:8">
      <c r="A6" s="75" t="s">
        <v>495</v>
      </c>
      <c r="B6" s="80">
        <v>0.001</v>
      </c>
      <c r="C6" s="81">
        <v>0.001</v>
      </c>
      <c r="D6" s="81">
        <v>0.001</v>
      </c>
      <c r="E6" s="79">
        <v>0.001</v>
      </c>
      <c r="F6" s="79">
        <v>0.001</v>
      </c>
      <c r="G6" s="81">
        <v>0.001</v>
      </c>
      <c r="H6" s="76"/>
    </row>
    <row r="7" ht="14" spans="1:8">
      <c r="A7" s="75" t="s">
        <v>496</v>
      </c>
      <c r="B7" s="80">
        <v>0.001</v>
      </c>
      <c r="C7" s="81">
        <v>0.001</v>
      </c>
      <c r="D7" s="81">
        <v>0.001</v>
      </c>
      <c r="E7" s="79">
        <v>0.001</v>
      </c>
      <c r="F7" s="79">
        <v>0.001</v>
      </c>
      <c r="G7" s="81">
        <v>0.001</v>
      </c>
      <c r="H7" s="76"/>
    </row>
    <row r="8" ht="13" spans="1:8">
      <c r="A8" s="82" t="s">
        <v>497</v>
      </c>
      <c r="H8" s="76"/>
    </row>
    <row r="9" ht="13" spans="1:8">
      <c r="A9" s="72" t="s">
        <v>498</v>
      </c>
      <c r="B9" s="73"/>
      <c r="C9" s="73"/>
      <c r="D9" s="73"/>
      <c r="E9" s="73"/>
      <c r="F9" s="73"/>
      <c r="G9" s="73"/>
      <c r="H9" s="74"/>
    </row>
    <row r="10" ht="12.5" spans="1:8">
      <c r="A10" s="75"/>
      <c r="B10" s="3" t="s">
        <v>1</v>
      </c>
      <c r="C10" s="3" t="s">
        <v>48</v>
      </c>
      <c r="D10" s="52" t="s">
        <v>46</v>
      </c>
      <c r="E10" s="52" t="s">
        <v>53</v>
      </c>
      <c r="F10" s="52" t="s">
        <v>55</v>
      </c>
      <c r="G10" s="52" t="s">
        <v>51</v>
      </c>
      <c r="H10" s="76" t="s">
        <v>486</v>
      </c>
    </row>
    <row r="11" ht="25" spans="1:8">
      <c r="A11" s="77" t="s">
        <v>493</v>
      </c>
      <c r="B11" s="52">
        <v>310</v>
      </c>
      <c r="C11" s="52">
        <v>380</v>
      </c>
      <c r="D11" s="52">
        <v>480</v>
      </c>
      <c r="E11" s="52">
        <v>380</v>
      </c>
      <c r="F11" s="52">
        <v>1000</v>
      </c>
      <c r="G11" s="52">
        <v>230</v>
      </c>
      <c r="H11" s="76">
        <v>400</v>
      </c>
    </row>
    <row r="12" ht="25" spans="1:8">
      <c r="A12" s="77" t="s">
        <v>494</v>
      </c>
      <c r="B12" s="53">
        <v>0.1</v>
      </c>
      <c r="C12" s="53">
        <v>0.1</v>
      </c>
      <c r="D12" s="83">
        <v>0.1</v>
      </c>
      <c r="E12" s="83">
        <v>0.1</v>
      </c>
      <c r="F12" s="83">
        <v>0.1</v>
      </c>
      <c r="G12" s="83">
        <v>0.1</v>
      </c>
      <c r="H12" s="76">
        <v>0</v>
      </c>
    </row>
    <row r="13" ht="12.5" spans="1:8">
      <c r="A13" s="75" t="s">
        <v>495</v>
      </c>
      <c r="B13" s="53">
        <v>0.15</v>
      </c>
      <c r="C13" s="53">
        <v>0.15</v>
      </c>
      <c r="D13" s="83">
        <v>0.15</v>
      </c>
      <c r="E13" s="83">
        <v>0.15</v>
      </c>
      <c r="F13" s="83">
        <v>0.15</v>
      </c>
      <c r="G13" s="83">
        <v>0.15</v>
      </c>
      <c r="H13" s="76">
        <v>0</v>
      </c>
    </row>
    <row r="14" ht="12.5" spans="1:8">
      <c r="A14" s="75" t="s">
        <v>496</v>
      </c>
      <c r="B14" s="53">
        <v>0.05</v>
      </c>
      <c r="C14" s="53">
        <v>0.05</v>
      </c>
      <c r="D14" s="83">
        <v>0.05</v>
      </c>
      <c r="E14" s="83">
        <v>0.05</v>
      </c>
      <c r="F14" s="83">
        <v>0.05</v>
      </c>
      <c r="G14" s="83">
        <v>0.05</v>
      </c>
      <c r="H14" s="76">
        <v>0</v>
      </c>
    </row>
    <row r="15" ht="12.5" spans="1:8">
      <c r="A15" s="75" t="s">
        <v>499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</row>
    <row r="16" ht="13" spans="1:8">
      <c r="A16" s="82" t="s">
        <v>497</v>
      </c>
      <c r="H16" s="76"/>
    </row>
    <row r="17" ht="13" spans="1:8">
      <c r="A17" s="72" t="s">
        <v>500</v>
      </c>
      <c r="B17" s="73"/>
      <c r="C17" s="73"/>
      <c r="D17" s="73"/>
      <c r="E17" s="73"/>
      <c r="F17" s="73"/>
      <c r="G17" s="73"/>
      <c r="H17" s="74"/>
    </row>
    <row r="18" ht="12.5" spans="1:8">
      <c r="A18" s="75"/>
      <c r="B18" s="3" t="s">
        <v>1</v>
      </c>
      <c r="C18" s="3" t="s">
        <v>48</v>
      </c>
      <c r="D18" s="52" t="s">
        <v>46</v>
      </c>
      <c r="E18" s="52" t="s">
        <v>53</v>
      </c>
      <c r="F18" s="52" t="s">
        <v>55</v>
      </c>
      <c r="G18" s="52" t="s">
        <v>51</v>
      </c>
      <c r="H18" s="76" t="s">
        <v>486</v>
      </c>
    </row>
    <row r="19" ht="25" spans="1:8">
      <c r="A19" s="77" t="s">
        <v>493</v>
      </c>
      <c r="B19" s="52">
        <v>310</v>
      </c>
      <c r="C19" s="52">
        <v>380</v>
      </c>
      <c r="D19" s="52">
        <v>480</v>
      </c>
      <c r="E19" s="52">
        <v>380</v>
      </c>
      <c r="F19" s="52">
        <v>1000</v>
      </c>
      <c r="G19" s="52">
        <v>230</v>
      </c>
      <c r="H19" s="76"/>
    </row>
    <row r="20" ht="25" spans="1:8">
      <c r="A20" s="77" t="s">
        <v>494</v>
      </c>
      <c r="B20" s="53">
        <v>0.03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76"/>
    </row>
    <row r="21" ht="12.5" spans="1:8">
      <c r="A21" s="75" t="s">
        <v>495</v>
      </c>
      <c r="B21" s="53">
        <v>0.07</v>
      </c>
      <c r="C21" s="53">
        <v>0.06</v>
      </c>
      <c r="D21" s="53">
        <v>0.05</v>
      </c>
      <c r="E21" s="53">
        <v>0.05</v>
      </c>
      <c r="F21" s="53">
        <v>0.05</v>
      </c>
      <c r="G21" s="53">
        <v>0.05</v>
      </c>
      <c r="H21" s="76"/>
    </row>
    <row r="22" ht="12.5" spans="1:8">
      <c r="A22" s="75" t="s">
        <v>496</v>
      </c>
      <c r="B22" s="53">
        <v>0.02</v>
      </c>
      <c r="C22" s="53">
        <v>0.01</v>
      </c>
      <c r="D22" s="53">
        <v>0.01</v>
      </c>
      <c r="E22" s="53">
        <v>0.01</v>
      </c>
      <c r="F22" s="53">
        <v>0.01</v>
      </c>
      <c r="G22" s="53">
        <v>0.01</v>
      </c>
      <c r="H22" s="76"/>
    </row>
    <row r="23" ht="13" spans="1:8">
      <c r="A23" s="84" t="s">
        <v>497</v>
      </c>
      <c r="B23" s="85"/>
      <c r="C23" s="85"/>
      <c r="D23" s="85"/>
      <c r="E23" s="85"/>
      <c r="F23" s="85"/>
      <c r="G23" s="85"/>
      <c r="H23" s="86"/>
    </row>
    <row r="25" customHeight="1" spans="2:2">
      <c r="B25" s="87" t="s">
        <v>501</v>
      </c>
    </row>
  </sheetData>
  <mergeCells count="4">
    <mergeCell ref="A1:H1"/>
    <mergeCell ref="A2:H2"/>
    <mergeCell ref="A9:H9"/>
    <mergeCell ref="A17:H17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1004"/>
  <sheetViews>
    <sheetView workbookViewId="0">
      <selection activeCell="A1" sqref="A1"/>
    </sheetView>
  </sheetViews>
  <sheetFormatPr defaultColWidth="12.6636363636364" defaultRowHeight="15.75" customHeight="1"/>
  <cols>
    <col min="1" max="1" width="18.4454545454545" customWidth="1"/>
    <col min="2" max="2" width="37.7818181818182" customWidth="1"/>
    <col min="3" max="3" width="12.8909090909091" customWidth="1"/>
    <col min="4" max="4" width="9.44545454545455" customWidth="1"/>
    <col min="5" max="5" width="14.3363636363636" customWidth="1"/>
    <col min="6" max="6" width="26.2181818181818" customWidth="1"/>
    <col min="7" max="7" width="20.7818181818182" customWidth="1"/>
    <col min="9" max="9" width="21.7818181818182" customWidth="1"/>
    <col min="17" max="17" width="21" customWidth="1"/>
  </cols>
  <sheetData>
    <row r="1" ht="26.25" customHeight="1" spans="1:10">
      <c r="A1" s="1" t="s">
        <v>0</v>
      </c>
      <c r="B1" s="2" t="s">
        <v>55</v>
      </c>
      <c r="C1" s="3"/>
      <c r="D1" s="3"/>
      <c r="E1" s="3"/>
      <c r="H1" s="4" t="s">
        <v>502</v>
      </c>
      <c r="I1" s="3"/>
      <c r="J1" s="3"/>
    </row>
    <row r="2" ht="26.25" customHeight="1" spans="1:10">
      <c r="A2" s="1" t="s">
        <v>2</v>
      </c>
      <c r="B2" s="2" t="s">
        <v>298</v>
      </c>
      <c r="C2" s="3"/>
      <c r="D2" s="3"/>
      <c r="E2" s="3"/>
      <c r="F2" s="3"/>
      <c r="G2" s="3"/>
      <c r="H2" s="3"/>
      <c r="I2" s="3"/>
      <c r="J2" s="3"/>
    </row>
    <row r="3" ht="26.25" customHeight="1" spans="1:10">
      <c r="A3" s="3" t="s">
        <v>4</v>
      </c>
      <c r="B3" s="2" t="s">
        <v>26</v>
      </c>
      <c r="C3" s="3"/>
      <c r="D3" s="3"/>
      <c r="E3" s="3"/>
      <c r="F3" s="3"/>
      <c r="G3" s="3"/>
      <c r="H3" s="3"/>
      <c r="I3" s="3"/>
      <c r="J3" s="3"/>
    </row>
    <row r="4" ht="26.25" customHeight="1" spans="1:10">
      <c r="A4" s="5" t="s">
        <v>251</v>
      </c>
      <c r="B4" s="2" t="s">
        <v>393</v>
      </c>
      <c r="C4" s="6" t="s">
        <v>503</v>
      </c>
      <c r="D4" s="7" t="s">
        <v>6</v>
      </c>
      <c r="F4" s="3"/>
      <c r="G4" s="3"/>
      <c r="H4" s="3"/>
      <c r="I4" s="3"/>
      <c r="J4" s="3"/>
    </row>
    <row r="5" ht="30" customHeight="1" spans="1:10">
      <c r="A5" s="8" t="s">
        <v>7</v>
      </c>
      <c r="B5" s="8" t="s">
        <v>8</v>
      </c>
      <c r="C5" s="8"/>
      <c r="D5" s="8" t="s">
        <v>9</v>
      </c>
      <c r="E5" s="9" t="s">
        <v>504</v>
      </c>
      <c r="F5" s="3"/>
      <c r="G5" s="3"/>
      <c r="H5" s="3"/>
      <c r="I5" s="3"/>
      <c r="J5" s="3"/>
    </row>
    <row r="6" ht="19.5" customHeight="1" spans="1:10">
      <c r="A6" s="10">
        <v>1</v>
      </c>
      <c r="B6" s="11" t="s">
        <v>478</v>
      </c>
      <c r="C6" s="11"/>
      <c r="D6" s="11">
        <f>12/7.2</f>
        <v>1.66666666666667</v>
      </c>
      <c r="E6" s="12">
        <f t="shared" ref="E6:E7" si="0">D6/$D$15</f>
        <v>0.52087612475386</v>
      </c>
      <c r="F6" s="3"/>
      <c r="G6" s="13">
        <v>0.2</v>
      </c>
      <c r="H6" s="3"/>
      <c r="I6" s="3"/>
      <c r="J6" s="3"/>
    </row>
    <row r="7" ht="29.25" customHeight="1" spans="1:10">
      <c r="A7" s="14">
        <v>2</v>
      </c>
      <c r="B7" s="15" t="s">
        <v>274</v>
      </c>
      <c r="C7" s="16"/>
      <c r="D7" s="17">
        <f t="array" ref="D7">INDEX($R$24:$X$64,MATCH($B$4,$Q$24:$Q$64,0),MATCH($B$1,$R$23:$X$23,0))</f>
        <v>0.42912828</v>
      </c>
      <c r="E7" s="18">
        <f t="shared" si="0"/>
        <v>0.134113605305214</v>
      </c>
      <c r="F7" s="3"/>
      <c r="G7" s="13">
        <v>0.1</v>
      </c>
      <c r="H7" s="3"/>
      <c r="I7" s="3"/>
      <c r="J7" s="3"/>
    </row>
    <row r="8" ht="27" hidden="1" customHeight="1" spans="1:10">
      <c r="A8" s="19">
        <v>3</v>
      </c>
      <c r="B8" s="20" t="s">
        <v>505</v>
      </c>
      <c r="C8" s="21"/>
      <c r="D8" s="21">
        <f>D9+D10</f>
        <v>0.4</v>
      </c>
      <c r="E8" s="18"/>
      <c r="F8" s="3"/>
      <c r="G8" s="13">
        <v>0.1</v>
      </c>
      <c r="H8" s="3"/>
      <c r="I8" s="3"/>
      <c r="J8" s="3"/>
    </row>
    <row r="9" ht="33" customHeight="1" spans="1:10">
      <c r="A9" s="22"/>
      <c r="B9" s="15" t="s">
        <v>506</v>
      </c>
      <c r="C9" s="23">
        <v>0</v>
      </c>
      <c r="D9" s="24">
        <v>0</v>
      </c>
      <c r="E9" s="18">
        <f t="shared" ref="E9:E14" si="1">D9/$D$15</f>
        <v>0</v>
      </c>
      <c r="F9" s="3"/>
      <c r="G9" s="13">
        <v>0.4</v>
      </c>
      <c r="H9" s="3"/>
      <c r="I9" s="3"/>
      <c r="J9" s="3"/>
    </row>
    <row r="10" ht="19.5" customHeight="1" spans="1:10">
      <c r="A10" s="25"/>
      <c r="B10" s="26" t="s">
        <v>16</v>
      </c>
      <c r="C10" s="27"/>
      <c r="D10" s="27">
        <v>0.4</v>
      </c>
      <c r="E10" s="18">
        <f t="shared" si="1"/>
        <v>0.125010269940926</v>
      </c>
      <c r="G10" s="28"/>
      <c r="I10" s="3"/>
      <c r="J10" s="3"/>
    </row>
    <row r="11" ht="19.5" customHeight="1" spans="1:10">
      <c r="A11" s="29" t="s">
        <v>17</v>
      </c>
      <c r="B11" s="30"/>
      <c r="C11" s="30"/>
      <c r="D11" s="31">
        <f>D6+D7+D8</f>
        <v>2.49579494666667</v>
      </c>
      <c r="E11" s="32">
        <f t="shared" si="1"/>
        <v>0.78</v>
      </c>
      <c r="G11" s="28">
        <f>SUM(G6:G9)</f>
        <v>0.8</v>
      </c>
      <c r="I11" s="3"/>
      <c r="J11" s="3"/>
    </row>
    <row r="12" ht="33" customHeight="1" spans="1:7">
      <c r="A12" s="33">
        <v>4</v>
      </c>
      <c r="B12" s="34" t="s">
        <v>507</v>
      </c>
      <c r="C12" s="35">
        <f>VLOOKUP(B1,F46:I55,4,FALSE)</f>
        <v>0.06</v>
      </c>
      <c r="D12" s="36">
        <f>(D11-D10)*C12</f>
        <v>0.1257476968</v>
      </c>
      <c r="E12" s="37">
        <f t="shared" si="1"/>
        <v>0.0392993838035444</v>
      </c>
      <c r="G12" s="28">
        <f>G11*10%</f>
        <v>0.08</v>
      </c>
    </row>
    <row r="13" ht="36.75" customHeight="1" spans="1:7">
      <c r="A13" s="38">
        <v>5</v>
      </c>
      <c r="B13" s="39" t="s">
        <v>508</v>
      </c>
      <c r="C13" s="40">
        <f>VLOOKUP(B3,B22:D40,3,0)</f>
        <v>0.06</v>
      </c>
      <c r="D13" s="41">
        <f>D15*C13</f>
        <v>0.191984226666667</v>
      </c>
      <c r="E13" s="42">
        <f t="shared" si="1"/>
        <v>0.06</v>
      </c>
      <c r="G13" s="28">
        <f ca="1">20%*G15</f>
        <v>0.2933333333</v>
      </c>
    </row>
    <row r="14" ht="33" customHeight="1" spans="1:7">
      <c r="A14" s="43">
        <v>6</v>
      </c>
      <c r="B14" s="44" t="s">
        <v>509</v>
      </c>
      <c r="C14" s="45">
        <v>0.1</v>
      </c>
      <c r="D14" s="46">
        <f>D15*C14</f>
        <v>0.319973711111111</v>
      </c>
      <c r="E14" s="47">
        <f t="shared" si="1"/>
        <v>0.1</v>
      </c>
      <c r="G14" s="28">
        <f ca="1">20%*G15</f>
        <v>0.2933333333</v>
      </c>
    </row>
    <row r="15" ht="19.5" customHeight="1" spans="1:10">
      <c r="A15" s="48" t="s">
        <v>483</v>
      </c>
      <c r="B15" s="49"/>
      <c r="C15" s="50"/>
      <c r="D15" s="50">
        <f>D11/(1-C13-C12-C14)</f>
        <v>3.19973711111111</v>
      </c>
      <c r="E15" s="51"/>
      <c r="F15" s="3"/>
      <c r="G15" s="13">
        <f ca="1">SUM(G11:G14)</f>
        <v>1.466666667</v>
      </c>
      <c r="H15" s="3"/>
      <c r="I15" s="3"/>
      <c r="J15" s="3"/>
    </row>
    <row r="16" ht="17" spans="1:10">
      <c r="A16" s="48" t="s">
        <v>484</v>
      </c>
      <c r="B16" s="49"/>
      <c r="C16" s="50">
        <f>VLOOKUP(B1,I31:J39,2,0)</f>
        <v>3950</v>
      </c>
      <c r="D16" s="50">
        <f>D15*C16</f>
        <v>12638.9615888889</v>
      </c>
      <c r="E16" s="51"/>
      <c r="F16" s="3"/>
      <c r="G16" s="13"/>
      <c r="H16" s="3"/>
      <c r="I16" s="3"/>
      <c r="J16" s="3"/>
    </row>
    <row r="17" ht="13.25" spans="6:10">
      <c r="F17" s="3"/>
      <c r="G17" s="13"/>
      <c r="H17" s="3"/>
      <c r="I17" s="3"/>
      <c r="J17" s="3"/>
    </row>
    <row r="18" ht="12.5" spans="3:10">
      <c r="C18" s="52" t="s">
        <v>510</v>
      </c>
      <c r="D18" s="53">
        <f>(D13+D10+D9)/D15</f>
        <v>0.185010269940926</v>
      </c>
      <c r="F18" s="3"/>
      <c r="G18" s="13"/>
      <c r="H18" s="3"/>
      <c r="I18" s="3"/>
      <c r="J18" s="3"/>
    </row>
    <row r="19" ht="12.5" spans="4:10">
      <c r="D19" s="54"/>
      <c r="F19" s="3"/>
      <c r="G19" s="3"/>
      <c r="H19" s="3"/>
      <c r="I19" s="3"/>
      <c r="J19" s="3"/>
    </row>
    <row r="20" ht="13" spans="2:10">
      <c r="B20" s="55" t="s">
        <v>23</v>
      </c>
      <c r="F20" s="3"/>
      <c r="G20" s="3"/>
      <c r="H20" s="3"/>
      <c r="I20" s="3"/>
      <c r="J20" s="3"/>
    </row>
    <row r="21" ht="12.5" spans="2:10">
      <c r="B21" s="56" t="s">
        <v>24</v>
      </c>
      <c r="C21" s="56"/>
      <c r="D21" s="56" t="s">
        <v>25</v>
      </c>
      <c r="F21" s="3"/>
      <c r="G21" s="3"/>
      <c r="H21" s="3"/>
      <c r="I21" s="3"/>
      <c r="J21" s="3"/>
    </row>
    <row r="22" ht="12.5" spans="2:23">
      <c r="B22" s="57" t="s">
        <v>26</v>
      </c>
      <c r="C22" s="58"/>
      <c r="D22" s="58">
        <v>0.06</v>
      </c>
      <c r="F22" s="3"/>
      <c r="G22" s="3"/>
      <c r="H22" s="3"/>
      <c r="I22" s="66" t="s">
        <v>485</v>
      </c>
      <c r="J22" s="3" t="s">
        <v>485</v>
      </c>
      <c r="K22" s="3" t="s">
        <v>485</v>
      </c>
      <c r="L22" s="3" t="s">
        <v>485</v>
      </c>
      <c r="M22" s="3" t="s">
        <v>485</v>
      </c>
      <c r="Q22" s="52" t="str">
        <f>IFERROR(__xludf.DUMMYFUNCTION("importrange(""https://docs.google.com/spreadsheets/d/1z7jycMnrpjJCCQulnYGqilwkOCyHzRQQkSYj0wLoXIE/edit#gid=2092075214"",""shipping cost!o1:U43"")"),"International shipping fee per pcs")</f>
        <v>International shipping fee per pcs</v>
      </c>
      <c r="R22" s="52"/>
      <c r="S22" s="52"/>
      <c r="T22" s="52"/>
      <c r="U22" s="52"/>
      <c r="V22" s="52"/>
      <c r="W22" s="52"/>
    </row>
    <row r="23" ht="12.5" spans="2:23">
      <c r="B23" s="57" t="s">
        <v>27</v>
      </c>
      <c r="C23" s="58"/>
      <c r="D23" s="58">
        <v>0.08</v>
      </c>
      <c r="F23" s="59"/>
      <c r="G23" s="59" t="s">
        <v>1</v>
      </c>
      <c r="H23" s="59" t="s">
        <v>48</v>
      </c>
      <c r="I23" s="67" t="s">
        <v>46</v>
      </c>
      <c r="J23" s="67" t="s">
        <v>53</v>
      </c>
      <c r="K23" s="67" t="s">
        <v>55</v>
      </c>
      <c r="L23" s="67" t="s">
        <v>49</v>
      </c>
      <c r="M23" s="67" t="s">
        <v>44</v>
      </c>
      <c r="N23" s="67" t="s">
        <v>486</v>
      </c>
      <c r="O23" s="67" t="s">
        <v>51</v>
      </c>
      <c r="Q23" s="52" t="str">
        <f>IFERROR(__xludf.DUMMYFUNCTION("""COMPUTED_VALUE"""),"Basic assortment")</f>
        <v>Basic assortment</v>
      </c>
      <c r="R23" s="52" t="str">
        <f>IFERROR(__xludf.DUMMYFUNCTION("""COMPUTED_VALUE"""),"NG")</f>
        <v>NG</v>
      </c>
      <c r="S23" s="52" t="str">
        <f>IFERROR(__xludf.DUMMYFUNCTION("""COMPUTED_VALUE"""),"IC")</f>
        <v>IC</v>
      </c>
      <c r="T23" s="52" t="str">
        <f>IFERROR(__xludf.DUMMYFUNCTION("""COMPUTED_VALUE"""),"KE")</f>
        <v>KE</v>
      </c>
      <c r="U23" s="52" t="str">
        <f>IFERROR(__xludf.DUMMYFUNCTION("""COMPUTED_VALUE"""),"SN")</f>
        <v>SN</v>
      </c>
      <c r="V23" s="52" t="str">
        <f>IFERROR(__xludf.DUMMYFUNCTION("""COMPUTED_VALUE"""),"UG")</f>
        <v>UG</v>
      </c>
      <c r="W23" s="52" t="str">
        <f>IFERROR(__xludf.DUMMYFUNCTION("""COMPUTED_VALUE"""),"GH")</f>
        <v>GH</v>
      </c>
    </row>
    <row r="24" ht="12.5" spans="2:23">
      <c r="B24" s="57" t="s">
        <v>28</v>
      </c>
      <c r="C24" s="58"/>
      <c r="D24" s="58">
        <v>0.08</v>
      </c>
      <c r="F24" s="59" t="s">
        <v>298</v>
      </c>
      <c r="G24" s="60">
        <v>0.002025</v>
      </c>
      <c r="H24" s="60">
        <v>0.002025</v>
      </c>
      <c r="I24" s="60">
        <v>0.002025</v>
      </c>
      <c r="J24" s="60">
        <v>0.002025</v>
      </c>
      <c r="K24" s="60">
        <v>0.002025</v>
      </c>
      <c r="L24" s="60">
        <v>0.002025</v>
      </c>
      <c r="M24" s="60">
        <v>0.002025</v>
      </c>
      <c r="N24" s="60">
        <v>0</v>
      </c>
      <c r="O24" s="60">
        <v>0.002025</v>
      </c>
      <c r="Q24" s="52" t="str">
        <f>IFERROR(__xludf.DUMMYFUNCTION("""COMPUTED_VALUE"""),"T-shirt")</f>
        <v>T-shirt</v>
      </c>
      <c r="R24" s="54">
        <f>IFERROR(__xludf.DUMMYFUNCTION("""COMPUTED_VALUE"""),0.3520493094)</f>
        <v>0.3520493094</v>
      </c>
      <c r="S24" s="52">
        <f>IFERROR(__xludf.DUMMYFUNCTION("""COMPUTED_VALUE"""),0.4471977714)</f>
        <v>0.4471977714</v>
      </c>
      <c r="T24" s="52">
        <f>IFERROR(__xludf.DUMMYFUNCTION("""COMPUTED_VALUE"""),0.4234106559)</f>
        <v>0.4234106559</v>
      </c>
      <c r="U24" s="52">
        <f>IFERROR(__xludf.DUMMYFUNCTION("""COMPUTED_VALUE"""),0.3996235404)</f>
        <v>0.3996235404</v>
      </c>
      <c r="V24" s="52">
        <f>IFERROR(__xludf.DUMMYFUNCTION("""COMPUTED_VALUE"""),0.9705143124)</f>
        <v>0.9705143124</v>
      </c>
      <c r="W24" s="52">
        <f>IFERROR(__xludf.DUMMYFUNCTION("""COMPUTED_VALUE"""),0.3235047708)</f>
        <v>0.3235047708</v>
      </c>
    </row>
    <row r="25" ht="12.5" spans="2:23">
      <c r="B25" s="57" t="s">
        <v>32</v>
      </c>
      <c r="C25" s="58"/>
      <c r="D25" s="58">
        <v>0.08</v>
      </c>
      <c r="F25" s="59" t="s">
        <v>3</v>
      </c>
      <c r="G25" s="60">
        <v>0.007088</v>
      </c>
      <c r="H25" s="60">
        <v>0.007088</v>
      </c>
      <c r="I25" s="60">
        <v>0.005063</v>
      </c>
      <c r="J25" s="60">
        <v>0.005063</v>
      </c>
      <c r="K25" s="60">
        <v>0.005063</v>
      </c>
      <c r="L25" s="60">
        <v>0.005063</v>
      </c>
      <c r="M25" s="60">
        <v>0.005063</v>
      </c>
      <c r="N25" s="60">
        <v>0</v>
      </c>
      <c r="O25" s="60">
        <v>0.005063</v>
      </c>
      <c r="Q25" s="52" t="str">
        <f>IFERROR(__xludf.DUMMYFUNCTION("""COMPUTED_VALUE"""),"shirt ")</f>
        <v>shirt </v>
      </c>
      <c r="R25" s="54">
        <f>IFERROR(__xludf.DUMMYFUNCTION("""COMPUTED_VALUE"""),0.364746)</f>
        <v>0.364746</v>
      </c>
      <c r="S25" s="52">
        <f>IFERROR(__xludf.DUMMYFUNCTION("""COMPUTED_VALUE"""),0.463326)</f>
        <v>0.463326</v>
      </c>
      <c r="T25" s="52">
        <f>IFERROR(__xludf.DUMMYFUNCTION("""COMPUTED_VALUE"""),0.438681)</f>
        <v>0.438681</v>
      </c>
      <c r="U25" s="52">
        <f>IFERROR(__xludf.DUMMYFUNCTION("""COMPUTED_VALUE"""),0.414036)</f>
        <v>0.414036</v>
      </c>
      <c r="V25" s="52">
        <f>IFERROR(__xludf.DUMMYFUNCTION("""COMPUTED_VALUE"""),1.005516)</f>
        <v>1.005516</v>
      </c>
      <c r="W25" s="52">
        <f>IFERROR(__xludf.DUMMYFUNCTION("""COMPUTED_VALUE"""),0.335172)</f>
        <v>0.335172</v>
      </c>
    </row>
    <row r="26" ht="12.5" spans="2:23">
      <c r="B26" s="57" t="s">
        <v>33</v>
      </c>
      <c r="C26" s="58"/>
      <c r="D26" s="58">
        <v>0.1</v>
      </c>
      <c r="F26" s="59" t="s">
        <v>34</v>
      </c>
      <c r="G26" s="60">
        <v>0.0189</v>
      </c>
      <c r="H26" s="60">
        <v>0.0189</v>
      </c>
      <c r="I26" s="60">
        <v>0.0135</v>
      </c>
      <c r="J26" s="60">
        <v>0.0135</v>
      </c>
      <c r="K26" s="60">
        <v>0.0135</v>
      </c>
      <c r="L26" s="60">
        <v>0.0135</v>
      </c>
      <c r="M26" s="60">
        <v>0.0135</v>
      </c>
      <c r="N26" s="60">
        <v>0</v>
      </c>
      <c r="O26" s="60">
        <v>0.0135</v>
      </c>
      <c r="Q26" s="52" t="str">
        <f>IFERROR(__xludf.DUMMYFUNCTION("""COMPUTED_VALUE"""),"trousers")</f>
        <v>trousers</v>
      </c>
      <c r="R26" s="54">
        <f>IFERROR(__xludf.DUMMYFUNCTION("""COMPUTED_VALUE"""),0.866405454545454)</f>
        <v>0.866405454545454</v>
      </c>
      <c r="S26" s="52">
        <f>IFERROR(__xludf.DUMMYFUNCTION("""COMPUTED_VALUE"""),1.10056909090909)</f>
        <v>1.10056909090909</v>
      </c>
      <c r="T26" s="52">
        <f>IFERROR(__xludf.DUMMYFUNCTION("""COMPUTED_VALUE"""),1.04202818181818)</f>
        <v>1.04202818181818</v>
      </c>
      <c r="U26" s="52">
        <f>IFERROR(__xludf.DUMMYFUNCTION("""COMPUTED_VALUE"""),0.983487272727272)</f>
        <v>0.983487272727272</v>
      </c>
      <c r="V26" s="52">
        <f>IFERROR(__xludf.DUMMYFUNCTION("""COMPUTED_VALUE"""),2.38846909090909)</f>
        <v>2.38846909090909</v>
      </c>
      <c r="W26" s="52">
        <f>IFERROR(__xludf.DUMMYFUNCTION("""COMPUTED_VALUE"""),0.796156363636363)</f>
        <v>0.796156363636363</v>
      </c>
    </row>
    <row r="27" ht="12.5" spans="2:23">
      <c r="B27" s="57" t="s">
        <v>35</v>
      </c>
      <c r="C27" s="58"/>
      <c r="D27" s="58">
        <v>0.1</v>
      </c>
      <c r="F27" s="59" t="s">
        <v>36</v>
      </c>
      <c r="G27" s="60">
        <v>0.033075</v>
      </c>
      <c r="H27" s="60">
        <v>0.033075</v>
      </c>
      <c r="I27" s="60">
        <v>0.023625</v>
      </c>
      <c r="J27" s="60">
        <v>0.023625</v>
      </c>
      <c r="K27" s="60">
        <v>0.023625</v>
      </c>
      <c r="L27" s="60">
        <v>0.023625</v>
      </c>
      <c r="M27" s="60">
        <v>0.023625</v>
      </c>
      <c r="N27" s="60">
        <v>0</v>
      </c>
      <c r="O27" s="60">
        <v>0.023625</v>
      </c>
      <c r="Q27" s="52" t="str">
        <f>IFERROR(__xludf.DUMMYFUNCTION("""COMPUTED_VALUE"""),"Underwear pack of 4")</f>
        <v>Underwear pack of 4</v>
      </c>
      <c r="R27" s="54">
        <f>IFERROR(__xludf.DUMMYFUNCTION("""COMPUTED_VALUE"""),0.352539325842696)</f>
        <v>0.352539325842696</v>
      </c>
      <c r="S27" s="52">
        <f>IFERROR(__xludf.DUMMYFUNCTION("""COMPUTED_VALUE"""),0.447820224719101)</f>
        <v>0.447820224719101</v>
      </c>
      <c r="T27" s="52">
        <f>IFERROR(__xludf.DUMMYFUNCTION("""COMPUTED_VALUE"""),0.424)</f>
        <v>0.424</v>
      </c>
      <c r="U27" s="52">
        <f>IFERROR(__xludf.DUMMYFUNCTION("""COMPUTED_VALUE"""),0.400179775280898)</f>
        <v>0.400179775280898</v>
      </c>
      <c r="V27" s="52">
        <f>IFERROR(__xludf.DUMMYFUNCTION("""COMPUTED_VALUE"""),0.971865168539325)</f>
        <v>0.971865168539325</v>
      </c>
      <c r="W27" s="52">
        <f>IFERROR(__xludf.DUMMYFUNCTION("""COMPUTED_VALUE"""),0.323955056179775)</f>
        <v>0.323955056179775</v>
      </c>
    </row>
    <row r="28" ht="12.5" spans="2:23">
      <c r="B28" s="57" t="s">
        <v>37</v>
      </c>
      <c r="C28" s="58"/>
      <c r="D28" s="58">
        <v>0.1</v>
      </c>
      <c r="F28" s="3"/>
      <c r="G28" s="3"/>
      <c r="H28" s="3"/>
      <c r="I28" s="3"/>
      <c r="J28" s="3"/>
      <c r="Q28" s="52" t="str">
        <f>IFERROR(__xludf.DUMMYFUNCTION("""COMPUTED_VALUE"""),"Socks pack of six")</f>
        <v>Socks pack of six</v>
      </c>
      <c r="R28" s="54">
        <f>IFERROR(__xludf.DUMMYFUNCTION("""COMPUTED_VALUE"""),0.251008)</f>
        <v>0.251008</v>
      </c>
      <c r="S28" s="52">
        <f>IFERROR(__xludf.DUMMYFUNCTION("""COMPUTED_VALUE"""),0.318848)</f>
        <v>0.318848</v>
      </c>
      <c r="T28" s="52">
        <f>IFERROR(__xludf.DUMMYFUNCTION("""COMPUTED_VALUE"""),0.301888)</f>
        <v>0.301888</v>
      </c>
      <c r="U28" s="52">
        <f>IFERROR(__xludf.DUMMYFUNCTION("""COMPUTED_VALUE"""),0.284928)</f>
        <v>0.284928</v>
      </c>
      <c r="V28" s="52">
        <f>IFERROR(__xludf.DUMMYFUNCTION("""COMPUTED_VALUE"""),0.691968)</f>
        <v>0.691968</v>
      </c>
      <c r="W28" s="52">
        <f>IFERROR(__xludf.DUMMYFUNCTION("""COMPUTED_VALUE"""),0.230656)</f>
        <v>0.230656</v>
      </c>
    </row>
    <row r="29" ht="12.5" spans="2:23">
      <c r="B29" s="57" t="s">
        <v>38</v>
      </c>
      <c r="C29" s="58"/>
      <c r="D29" s="58">
        <v>0.15</v>
      </c>
      <c r="F29" s="3"/>
      <c r="G29" s="3"/>
      <c r="H29" s="3"/>
      <c r="I29" s="3"/>
      <c r="J29" s="3"/>
      <c r="Q29" s="52" t="str">
        <f>IFERROR(__xludf.DUMMYFUNCTION("""COMPUTED_VALUE"""),"Hoodie/ Jacket")</f>
        <v>Hoodie/ Jacket</v>
      </c>
      <c r="R29" s="54">
        <f>IFERROR(__xludf.DUMMYFUNCTION("""COMPUTED_VALUE"""),1.15965696)</f>
        <v>1.15965696</v>
      </c>
      <c r="S29" s="52">
        <f>IFERROR(__xludf.DUMMYFUNCTION("""COMPUTED_VALUE"""),1.47307776)</f>
        <v>1.47307776</v>
      </c>
      <c r="T29" s="52">
        <f>IFERROR(__xludf.DUMMYFUNCTION("""COMPUTED_VALUE"""),1.39472256)</f>
        <v>1.39472256</v>
      </c>
      <c r="U29" s="52">
        <f>IFERROR(__xludf.DUMMYFUNCTION("""COMPUTED_VALUE"""),1.31636736)</f>
        <v>1.31636736</v>
      </c>
      <c r="V29" s="52">
        <f>IFERROR(__xludf.DUMMYFUNCTION("""COMPUTED_VALUE"""),3.19689216)</f>
        <v>3.19689216</v>
      </c>
      <c r="W29" s="52">
        <f>IFERROR(__xludf.DUMMYFUNCTION("""COMPUTED_VALUE"""),1.06563072)</f>
        <v>1.06563072</v>
      </c>
    </row>
    <row r="30" ht="12.5" spans="2:23">
      <c r="B30" s="57" t="s">
        <v>39</v>
      </c>
      <c r="C30" s="58"/>
      <c r="D30" s="58">
        <v>0.15</v>
      </c>
      <c r="F30" s="57" t="s">
        <v>0</v>
      </c>
      <c r="G30" s="57" t="s">
        <v>40</v>
      </c>
      <c r="H30" s="3"/>
      <c r="I30" s="68" t="s">
        <v>0</v>
      </c>
      <c r="J30" s="69" t="s">
        <v>511</v>
      </c>
      <c r="K30" s="59"/>
      <c r="L30" s="59" t="s">
        <v>30</v>
      </c>
      <c r="Q30" s="52" t="str">
        <f>IFERROR(__xludf.DUMMYFUNCTION("""COMPUTED_VALUE"""),"Set of black short &amp; shirt for men")</f>
        <v>Set of black short &amp; shirt for men</v>
      </c>
      <c r="R30" s="54">
        <f>IFERROR(__xludf.DUMMYFUNCTION("""COMPUTED_VALUE"""),0.7040986188)</f>
        <v>0.7040986188</v>
      </c>
      <c r="S30" s="52">
        <f>IFERROR(__xludf.DUMMYFUNCTION("""COMPUTED_VALUE"""),0.8943955428)</f>
        <v>0.8943955428</v>
      </c>
      <c r="T30" s="52">
        <f>IFERROR(__xludf.DUMMYFUNCTION("""COMPUTED_VALUE"""),0.8468213118)</f>
        <v>0.8468213118</v>
      </c>
      <c r="U30" s="52">
        <f>IFERROR(__xludf.DUMMYFUNCTION("""COMPUTED_VALUE"""),0.7992470808)</f>
        <v>0.7992470808</v>
      </c>
      <c r="V30" s="52">
        <f>IFERROR(__xludf.DUMMYFUNCTION("""COMPUTED_VALUE"""),1.9410286248)</f>
        <v>1.9410286248</v>
      </c>
      <c r="W30" s="52">
        <f>IFERROR(__xludf.DUMMYFUNCTION("""COMPUTED_VALUE"""),0.6470095416)</f>
        <v>0.6470095416</v>
      </c>
    </row>
    <row r="31" ht="12.5" spans="2:23">
      <c r="B31" s="57" t="s">
        <v>42</v>
      </c>
      <c r="C31" s="58"/>
      <c r="D31" s="58">
        <v>0.15</v>
      </c>
      <c r="F31" s="57" t="s">
        <v>1</v>
      </c>
      <c r="G31" s="61">
        <v>0.075</v>
      </c>
      <c r="H31" s="3"/>
      <c r="I31" s="68" t="s">
        <v>1</v>
      </c>
      <c r="J31" s="59">
        <v>1070</v>
      </c>
      <c r="K31" s="59" t="s">
        <v>512</v>
      </c>
      <c r="L31" s="59">
        <v>0.2</v>
      </c>
      <c r="Q31" s="52" t="str">
        <f>IFERROR(__xludf.DUMMYFUNCTION("""COMPUTED_VALUE"""),"Women underwear  pack of 4")</f>
        <v>Women underwear  pack of 4</v>
      </c>
      <c r="R31" s="54">
        <f>IFERROR(__xludf.DUMMYFUNCTION("""COMPUTED_VALUE"""),0.352539325842696)</f>
        <v>0.352539325842696</v>
      </c>
      <c r="S31" s="52">
        <f>IFERROR(__xludf.DUMMYFUNCTION("""COMPUTED_VALUE"""),0.447820224719101)</f>
        <v>0.447820224719101</v>
      </c>
      <c r="T31" s="52">
        <f>IFERROR(__xludf.DUMMYFUNCTION("""COMPUTED_VALUE"""),0.424)</f>
        <v>0.424</v>
      </c>
      <c r="U31" s="52">
        <f>IFERROR(__xludf.DUMMYFUNCTION("""COMPUTED_VALUE"""),0.400179775280898)</f>
        <v>0.400179775280898</v>
      </c>
      <c r="V31" s="52">
        <f>IFERROR(__xludf.DUMMYFUNCTION("""COMPUTED_VALUE"""),0.971865168539325)</f>
        <v>0.971865168539325</v>
      </c>
      <c r="W31" s="52">
        <f>IFERROR(__xludf.DUMMYFUNCTION("""COMPUTED_VALUE"""),0.323955056179775)</f>
        <v>0.323955056179775</v>
      </c>
    </row>
    <row r="32" ht="12.5" spans="2:23">
      <c r="B32" s="57" t="s">
        <v>43</v>
      </c>
      <c r="C32" s="58"/>
      <c r="D32" s="58">
        <v>0.15</v>
      </c>
      <c r="F32" s="57" t="s">
        <v>44</v>
      </c>
      <c r="G32" s="58">
        <v>0.14</v>
      </c>
      <c r="H32" s="3"/>
      <c r="I32" s="68" t="s">
        <v>44</v>
      </c>
      <c r="J32" s="59">
        <v>42</v>
      </c>
      <c r="K32" s="59" t="s">
        <v>513</v>
      </c>
      <c r="L32" s="59">
        <v>0.2</v>
      </c>
      <c r="Q32" s="52" t="str">
        <f>IFERROR(__xludf.DUMMYFUNCTION("""COMPUTED_VALUE"""),"bra pack of two")</f>
        <v>bra pack of two</v>
      </c>
      <c r="R32" s="54">
        <f>IFERROR(__xludf.DUMMYFUNCTION("""COMPUTED_VALUE"""),0.762611111111111)</f>
        <v>0.762611111111111</v>
      </c>
      <c r="S32" s="52">
        <f>IFERROR(__xludf.DUMMYFUNCTION("""COMPUTED_VALUE"""),0.968722222222222)</f>
        <v>0.968722222222222</v>
      </c>
      <c r="T32" s="52">
        <f>IFERROR(__xludf.DUMMYFUNCTION("""COMPUTED_VALUE"""),0.917194444444444)</f>
        <v>0.917194444444444</v>
      </c>
      <c r="U32" s="52">
        <f>IFERROR(__xludf.DUMMYFUNCTION("""COMPUTED_VALUE"""),0.865666666666666)</f>
        <v>0.865666666666666</v>
      </c>
      <c r="V32" s="52">
        <f>IFERROR(__xludf.DUMMYFUNCTION("""COMPUTED_VALUE"""),2.10233333333333)</f>
        <v>2.10233333333333</v>
      </c>
      <c r="W32" s="52">
        <f>IFERROR(__xludf.DUMMYFUNCTION("""COMPUTED_VALUE"""),0.700777777777777)</f>
        <v>0.700777777777777</v>
      </c>
    </row>
    <row r="33" ht="12.5" spans="2:23">
      <c r="B33" s="57" t="s">
        <v>45</v>
      </c>
      <c r="C33" s="58"/>
      <c r="D33" s="58">
        <v>0.15</v>
      </c>
      <c r="F33" s="57" t="s">
        <v>46</v>
      </c>
      <c r="G33" s="58">
        <v>0.16</v>
      </c>
      <c r="H33" s="3"/>
      <c r="I33" s="68" t="s">
        <v>46</v>
      </c>
      <c r="J33" s="59">
        <v>155</v>
      </c>
      <c r="K33" s="59" t="s">
        <v>34</v>
      </c>
      <c r="L33" s="70">
        <v>0.6</v>
      </c>
      <c r="Q33" s="52" t="str">
        <f>IFERROR(__xludf.DUMMYFUNCTION("""COMPUTED_VALUE"""),"Women dress")</f>
        <v>Women dress</v>
      </c>
      <c r="R33" s="54">
        <f>IFERROR(__xludf.DUMMYFUNCTION("""COMPUTED_VALUE"""),0.364746)</f>
        <v>0.364746</v>
      </c>
      <c r="S33" s="52">
        <f>IFERROR(__xludf.DUMMYFUNCTION("""COMPUTED_VALUE"""),0.463326)</f>
        <v>0.463326</v>
      </c>
      <c r="T33" s="52">
        <f>IFERROR(__xludf.DUMMYFUNCTION("""COMPUTED_VALUE"""),0.438681)</f>
        <v>0.438681</v>
      </c>
      <c r="U33" s="52">
        <f>IFERROR(__xludf.DUMMYFUNCTION("""COMPUTED_VALUE"""),0.414036)</f>
        <v>0.414036</v>
      </c>
      <c r="V33" s="52">
        <f>IFERROR(__xludf.DUMMYFUNCTION("""COMPUTED_VALUE"""),1.005516)</f>
        <v>1.005516</v>
      </c>
      <c r="W33" s="52">
        <f>IFERROR(__xludf.DUMMYFUNCTION("""COMPUTED_VALUE"""),0.335172)</f>
        <v>0.335172</v>
      </c>
    </row>
    <row r="34" ht="12.5" spans="2:23">
      <c r="B34" s="57" t="s">
        <v>47</v>
      </c>
      <c r="C34" s="58"/>
      <c r="D34" s="58">
        <v>0.2</v>
      </c>
      <c r="F34" s="57" t="s">
        <v>48</v>
      </c>
      <c r="G34" s="58">
        <v>0.18</v>
      </c>
      <c r="H34" s="3"/>
      <c r="I34" s="68" t="s">
        <v>48</v>
      </c>
      <c r="J34" s="59">
        <v>670</v>
      </c>
      <c r="K34" s="59" t="s">
        <v>36</v>
      </c>
      <c r="L34" s="70">
        <v>1.3</v>
      </c>
      <c r="Q34" s="52" t="str">
        <f>IFERROR(__xludf.DUMMYFUNCTION("""COMPUTED_VALUE"""),"Set of earings pck of 12")</f>
        <v>Set of earings pck of 12</v>
      </c>
      <c r="R34" s="54">
        <f>IFERROR(__xludf.DUMMYFUNCTION("""COMPUTED_VALUE"""),1.15045333333333)</f>
        <v>1.15045333333333</v>
      </c>
      <c r="S34" s="52">
        <f>IFERROR(__xludf.DUMMYFUNCTION("""COMPUTED_VALUE"""),1.46138666666666)</f>
        <v>1.46138666666666</v>
      </c>
      <c r="T34" s="52">
        <f>IFERROR(__xludf.DUMMYFUNCTION("""COMPUTED_VALUE"""),1.38365333333333)</f>
        <v>1.38365333333333</v>
      </c>
      <c r="U34" s="52">
        <f>IFERROR(__xludf.DUMMYFUNCTION("""COMPUTED_VALUE"""),1.30592)</f>
        <v>1.30592</v>
      </c>
      <c r="V34" s="52">
        <f>IFERROR(__xludf.DUMMYFUNCTION("""COMPUTED_VALUE"""),3.17152)</f>
        <v>3.17152</v>
      </c>
      <c r="W34" s="52">
        <f>IFERROR(__xludf.DUMMYFUNCTION("""COMPUTED_VALUE"""),1.05717333333333)</f>
        <v>1.05717333333333</v>
      </c>
    </row>
    <row r="35" ht="12.5" spans="2:23">
      <c r="B35" s="57" t="s">
        <v>5</v>
      </c>
      <c r="C35" s="58"/>
      <c r="D35" s="58">
        <v>0.2</v>
      </c>
      <c r="F35" s="57" t="s">
        <v>49</v>
      </c>
      <c r="G35" s="58">
        <v>0.2</v>
      </c>
      <c r="H35" s="3"/>
      <c r="I35" s="68" t="s">
        <v>49</v>
      </c>
      <c r="J35" s="59">
        <v>10.5</v>
      </c>
      <c r="K35" s="59" t="s">
        <v>514</v>
      </c>
      <c r="L35" s="52">
        <v>0.4</v>
      </c>
      <c r="Q35" s="52" t="str">
        <f>IFERROR(__xludf.DUMMYFUNCTION("""COMPUTED_VALUE"""),"Couple necklace pck of 2")</f>
        <v>Couple necklace pck of 2</v>
      </c>
      <c r="R35" s="54">
        <f>IFERROR(__xludf.DUMMYFUNCTION("""COMPUTED_VALUE"""),0.522933333333333)</f>
        <v>0.522933333333333</v>
      </c>
      <c r="S35" s="52">
        <f>IFERROR(__xludf.DUMMYFUNCTION("""COMPUTED_VALUE"""),0.664266666666666)</f>
        <v>0.664266666666666</v>
      </c>
      <c r="T35" s="52">
        <f>IFERROR(__xludf.DUMMYFUNCTION("""COMPUTED_VALUE"""),0.628933333333333)</f>
        <v>0.628933333333333</v>
      </c>
      <c r="U35" s="52">
        <f>IFERROR(__xludf.DUMMYFUNCTION("""COMPUTED_VALUE"""),0.5936)</f>
        <v>0.5936</v>
      </c>
      <c r="V35" s="52">
        <f>IFERROR(__xludf.DUMMYFUNCTION("""COMPUTED_VALUE"""),1.4416)</f>
        <v>1.4416</v>
      </c>
      <c r="W35" s="52">
        <f>IFERROR(__xludf.DUMMYFUNCTION("""COMPUTED_VALUE"""),0.480533333333333)</f>
        <v>0.480533333333333</v>
      </c>
    </row>
    <row r="36" ht="12.5" spans="2:23">
      <c r="B36" s="57" t="s">
        <v>50</v>
      </c>
      <c r="C36" s="58"/>
      <c r="D36" s="58">
        <v>0.2</v>
      </c>
      <c r="F36" s="57" t="s">
        <v>51</v>
      </c>
      <c r="G36" s="61">
        <v>0.181</v>
      </c>
      <c r="H36" s="3"/>
      <c r="I36" s="68" t="s">
        <v>51</v>
      </c>
      <c r="J36" s="59">
        <v>12.2</v>
      </c>
      <c r="K36" s="59" t="s">
        <v>515</v>
      </c>
      <c r="L36" s="52">
        <v>9.4</v>
      </c>
      <c r="Q36" s="52" t="str">
        <f>IFERROR(__xludf.DUMMYFUNCTION("""COMPUTED_VALUE"""),"Men Casual shoes")</f>
        <v>Men Casual shoes</v>
      </c>
      <c r="R36" s="54">
        <f>IFERROR(__xludf.DUMMYFUNCTION("""COMPUTED_VALUE"""),0.751661621052631)</f>
        <v>0.751661621052631</v>
      </c>
      <c r="S36" s="52">
        <f>IFERROR(__xludf.DUMMYFUNCTION("""COMPUTED_VALUE"""),0.954813410526316)</f>
        <v>0.954813410526316</v>
      </c>
      <c r="T36" s="52">
        <f>IFERROR(__xludf.DUMMYFUNCTION("""COMPUTED_VALUE"""),0.904025463157894)</f>
        <v>0.904025463157894</v>
      </c>
      <c r="U36" s="52">
        <f>IFERROR(__xludf.DUMMYFUNCTION("""COMPUTED_VALUE"""),0.853237515789473)</f>
        <v>0.853237515789473</v>
      </c>
      <c r="V36" s="52">
        <f>IFERROR(__xludf.DUMMYFUNCTION("""COMPUTED_VALUE"""),2.07214825263157)</f>
        <v>2.07214825263157</v>
      </c>
      <c r="W36" s="52">
        <f>IFERROR(__xludf.DUMMYFUNCTION("""COMPUTED_VALUE"""),0.690716084210526)</f>
        <v>0.690716084210526</v>
      </c>
    </row>
    <row r="37" ht="12.5" spans="2:23">
      <c r="B37" s="57" t="s">
        <v>52</v>
      </c>
      <c r="C37" s="58"/>
      <c r="D37" s="58">
        <v>0.2</v>
      </c>
      <c r="F37" s="57" t="s">
        <v>53</v>
      </c>
      <c r="G37" s="58">
        <v>0.18</v>
      </c>
      <c r="H37" s="3"/>
      <c r="I37" s="68" t="s">
        <v>53</v>
      </c>
      <c r="J37" s="59">
        <v>670</v>
      </c>
      <c r="Q37" s="52" t="str">
        <f>IFERROR(__xludf.DUMMYFUNCTION("""COMPUTED_VALUE"""),"Men Sports shoes")</f>
        <v>Men Sports shoes</v>
      </c>
      <c r="R37" s="54">
        <f>IFERROR(__xludf.DUMMYFUNCTION("""COMPUTED_VALUE"""),0.817410166666666)</f>
        <v>0.817410166666666</v>
      </c>
      <c r="S37" s="52">
        <f>IFERROR(__xludf.DUMMYFUNCTION("""COMPUTED_VALUE"""),1.03833183333333)</f>
        <v>1.03833183333333</v>
      </c>
      <c r="T37" s="52">
        <f>IFERROR(__xludf.DUMMYFUNCTION("""COMPUTED_VALUE"""),0.983101416666666)</f>
        <v>0.983101416666666</v>
      </c>
      <c r="U37" s="52">
        <f>IFERROR(__xludf.DUMMYFUNCTION("""COMPUTED_VALUE"""),0.927871)</f>
        <v>0.927871</v>
      </c>
      <c r="V37" s="52">
        <f>IFERROR(__xludf.DUMMYFUNCTION("""COMPUTED_VALUE"""),2.253401)</f>
        <v>2.253401</v>
      </c>
      <c r="W37" s="52">
        <f>IFERROR(__xludf.DUMMYFUNCTION("""COMPUTED_VALUE"""),0.751133666666666)</f>
        <v>0.751133666666666</v>
      </c>
    </row>
    <row r="38" ht="12.5" spans="2:23">
      <c r="B38" s="57" t="s">
        <v>54</v>
      </c>
      <c r="C38" s="58"/>
      <c r="D38" s="58">
        <v>0.2</v>
      </c>
      <c r="F38" s="57" t="s">
        <v>55</v>
      </c>
      <c r="G38" s="58">
        <v>0.18</v>
      </c>
      <c r="H38" s="3"/>
      <c r="I38" s="68" t="s">
        <v>55</v>
      </c>
      <c r="J38" s="59">
        <v>3950</v>
      </c>
      <c r="Q38" s="52" t="str">
        <f>IFERROR(__xludf.DUMMYFUNCTION("""COMPUTED_VALUE"""),"Men Formal shoes")</f>
        <v>Men Formal shoes</v>
      </c>
      <c r="R38" s="54">
        <f>IFERROR(__xludf.DUMMYFUNCTION("""COMPUTED_VALUE"""),3.38970616)</f>
        <v>3.38970616</v>
      </c>
      <c r="S38" s="52">
        <f>IFERROR(__xludf.DUMMYFUNCTION("""COMPUTED_VALUE"""),4.30584296)</f>
        <v>4.30584296</v>
      </c>
      <c r="T38" s="52">
        <f>IFERROR(__xludf.DUMMYFUNCTION("""COMPUTED_VALUE"""),4.07680876)</f>
        <v>4.07680876</v>
      </c>
      <c r="U38" s="52">
        <f>IFERROR(__xludf.DUMMYFUNCTION("""COMPUTED_VALUE"""),3.84777456)</f>
        <v>3.84777456</v>
      </c>
      <c r="V38" s="52">
        <f>IFERROR(__xludf.DUMMYFUNCTION("""COMPUTED_VALUE"""),9.34459536)</f>
        <v>9.34459536</v>
      </c>
      <c r="W38" s="52">
        <f>IFERROR(__xludf.DUMMYFUNCTION("""COMPUTED_VALUE"""),3.11486512)</f>
        <v>3.11486512</v>
      </c>
    </row>
    <row r="39" ht="12.5" spans="2:23">
      <c r="B39" s="57" t="s">
        <v>56</v>
      </c>
      <c r="C39" s="58"/>
      <c r="D39" s="58">
        <v>0.2</v>
      </c>
      <c r="F39" s="3" t="s">
        <v>486</v>
      </c>
      <c r="G39" s="62">
        <v>0</v>
      </c>
      <c r="H39" s="3"/>
      <c r="I39" s="59" t="s">
        <v>486</v>
      </c>
      <c r="J39" s="59">
        <v>21</v>
      </c>
      <c r="Q39" s="52" t="str">
        <f>IFERROR(__xludf.DUMMYFUNCTION("""COMPUTED_VALUE"""),"belt")</f>
        <v>belt</v>
      </c>
      <c r="R39" s="54">
        <f>IFERROR(__xludf.DUMMYFUNCTION("""COMPUTED_VALUE"""),0.31376)</f>
        <v>0.31376</v>
      </c>
      <c r="S39" s="52">
        <f>IFERROR(__xludf.DUMMYFUNCTION("""COMPUTED_VALUE"""),0.39856)</f>
        <v>0.39856</v>
      </c>
      <c r="T39" s="52">
        <f>IFERROR(__xludf.DUMMYFUNCTION("""COMPUTED_VALUE"""),0.37736)</f>
        <v>0.37736</v>
      </c>
      <c r="U39" s="52">
        <f>IFERROR(__xludf.DUMMYFUNCTION("""COMPUTED_VALUE"""),0.35616)</f>
        <v>0.35616</v>
      </c>
      <c r="V39" s="52">
        <f>IFERROR(__xludf.DUMMYFUNCTION("""COMPUTED_VALUE"""),0.86496)</f>
        <v>0.86496</v>
      </c>
      <c r="W39" s="52">
        <f>IFERROR(__xludf.DUMMYFUNCTION("""COMPUTED_VALUE"""),0.28832)</f>
        <v>0.28832</v>
      </c>
    </row>
    <row r="40" ht="12.5" spans="2:23">
      <c r="B40" s="57" t="s">
        <v>57</v>
      </c>
      <c r="C40" s="58"/>
      <c r="D40" s="58">
        <v>0.2</v>
      </c>
      <c r="F40" s="3"/>
      <c r="G40" s="3"/>
      <c r="H40" s="3"/>
      <c r="I40" s="3"/>
      <c r="J40" s="3"/>
      <c r="Q40" s="52" t="str">
        <f>IFERROR(__xludf.DUMMYFUNCTION("""COMPUTED_VALUE"""),"Sunglasses")</f>
        <v>Sunglasses</v>
      </c>
      <c r="R40" s="54">
        <f>IFERROR(__xludf.DUMMYFUNCTION("""COMPUTED_VALUE"""),0.141192)</f>
        <v>0.141192</v>
      </c>
      <c r="S40" s="52">
        <f>IFERROR(__xludf.DUMMYFUNCTION("""COMPUTED_VALUE"""),0.179352)</f>
        <v>0.179352</v>
      </c>
      <c r="T40" s="52">
        <f>IFERROR(__xludf.DUMMYFUNCTION("""COMPUTED_VALUE"""),0.169812)</f>
        <v>0.169812</v>
      </c>
      <c r="U40" s="52">
        <f>IFERROR(__xludf.DUMMYFUNCTION("""COMPUTED_VALUE"""),0.160272)</f>
        <v>0.160272</v>
      </c>
      <c r="V40" s="52">
        <f>IFERROR(__xludf.DUMMYFUNCTION("""COMPUTED_VALUE"""),0.389231999999999)</f>
        <v>0.389231999999999</v>
      </c>
      <c r="W40" s="52">
        <f>IFERROR(__xludf.DUMMYFUNCTION("""COMPUTED_VALUE"""),0.129744)</f>
        <v>0.129744</v>
      </c>
    </row>
    <row r="41" ht="12.5" spans="6:23">
      <c r="F41" s="3"/>
      <c r="G41" s="3"/>
      <c r="H41" s="3"/>
      <c r="I41" s="3"/>
      <c r="J41" s="3"/>
      <c r="Q41" s="52" t="str">
        <f>IFERROR(__xludf.DUMMYFUNCTION("""COMPUTED_VALUE"""),"watch")</f>
        <v>watch</v>
      </c>
      <c r="R41" s="54">
        <f>IFERROR(__xludf.DUMMYFUNCTION("""COMPUTED_VALUE"""),0.120279896)</f>
        <v>0.120279896</v>
      </c>
      <c r="S41" s="52">
        <f>IFERROR(__xludf.DUMMYFUNCTION("""COMPUTED_VALUE"""),0.152787976)</f>
        <v>0.152787976</v>
      </c>
      <c r="T41" s="52">
        <f>IFERROR(__xludf.DUMMYFUNCTION("""COMPUTED_VALUE"""),0.144660956)</f>
        <v>0.144660956</v>
      </c>
      <c r="U41" s="52">
        <f>IFERROR(__xludf.DUMMYFUNCTION("""COMPUTED_VALUE"""),0.136533936)</f>
        <v>0.136533936</v>
      </c>
      <c r="V41" s="52">
        <f>IFERROR(__xludf.DUMMYFUNCTION("""COMPUTED_VALUE"""),0.331582416)</f>
        <v>0.331582416</v>
      </c>
      <c r="W41" s="52">
        <f>IFERROR(__xludf.DUMMYFUNCTION("""COMPUTED_VALUE"""),0.110527472)</f>
        <v>0.110527472</v>
      </c>
    </row>
    <row r="42" ht="12.5" spans="6:23">
      <c r="F42" s="3"/>
      <c r="G42" s="3"/>
      <c r="H42" s="3"/>
      <c r="I42" s="3"/>
      <c r="J42" s="3"/>
      <c r="Q42" s="52" t="str">
        <f>IFERROR(__xludf.DUMMYFUNCTION("""COMPUTED_VALUE"""),"Bag- laptop bag")</f>
        <v>Bag- laptop bag</v>
      </c>
      <c r="R42" s="54">
        <f>IFERROR(__xludf.DUMMYFUNCTION("""COMPUTED_VALUE"""),1.2102170308)</f>
        <v>1.2102170308</v>
      </c>
      <c r="S42" s="52">
        <f>IFERROR(__xludf.DUMMYFUNCTION("""COMPUTED_VALUE"""),1.5373027148)</f>
        <v>1.5373027148</v>
      </c>
      <c r="T42" s="52">
        <f>IFERROR(__xludf.DUMMYFUNCTION("""COMPUTED_VALUE"""),1.4555312938)</f>
        <v>1.4555312938</v>
      </c>
      <c r="U42" s="52">
        <f>IFERROR(__xludf.DUMMYFUNCTION("""COMPUTED_VALUE"""),1.3737598728)</f>
        <v>1.3737598728</v>
      </c>
      <c r="V42" s="52">
        <f>IFERROR(__xludf.DUMMYFUNCTION("""COMPUTED_VALUE"""),3.3362739768)</f>
        <v>3.3362739768</v>
      </c>
      <c r="W42" s="52">
        <f>IFERROR(__xludf.DUMMYFUNCTION("""COMPUTED_VALUE"""),1.1120913256)</f>
        <v>1.1120913256</v>
      </c>
    </row>
    <row r="43" ht="12.5" spans="6:23">
      <c r="F43" s="3"/>
      <c r="G43" s="3"/>
      <c r="H43" s="3"/>
      <c r="I43" s="3"/>
      <c r="J43" s="3"/>
      <c r="Q43" s="52" t="str">
        <f>IFERROR(__xludf.DUMMYFUNCTION("""COMPUTED_VALUE"""),"Bag- lady's carring bag")</f>
        <v>Bag- lady's carring bag</v>
      </c>
      <c r="R43" s="54">
        <f>IFERROR(__xludf.DUMMYFUNCTION("""COMPUTED_VALUE"""),1.4261819608)</f>
        <v>1.4261819608</v>
      </c>
      <c r="S43" s="52">
        <f>IFERROR(__xludf.DUMMYFUNCTION("""COMPUTED_VALUE"""),1.8116365448)</f>
        <v>1.8116365448</v>
      </c>
      <c r="T43" s="52">
        <f>IFERROR(__xludf.DUMMYFUNCTION("""COMPUTED_VALUE"""),1.7152728988)</f>
        <v>1.7152728988</v>
      </c>
      <c r="U43" s="52">
        <f>IFERROR(__xludf.DUMMYFUNCTION("""COMPUTED_VALUE"""),1.6189092528)</f>
        <v>1.6189092528</v>
      </c>
      <c r="V43" s="52">
        <f>IFERROR(__xludf.DUMMYFUNCTION("""COMPUTED_VALUE"""),3.9316367568)</f>
        <v>3.9316367568</v>
      </c>
      <c r="W43" s="52">
        <f>IFERROR(__xludf.DUMMYFUNCTION("""COMPUTED_VALUE"""),1.3105455856)</f>
        <v>1.3105455856</v>
      </c>
    </row>
    <row r="44" ht="12.5" spans="2:23">
      <c r="B44" s="52" t="s">
        <v>488</v>
      </c>
      <c r="C44" s="63" t="s">
        <v>489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52" t="str">
        <f>IFERROR(__xludf.DUMMYFUNCTION("""COMPUTED_VALUE"""),"Bag- 4in1")</f>
        <v>Bag- 4in1</v>
      </c>
      <c r="R44" s="54">
        <f>IFERROR(__xludf.DUMMYFUNCTION("""COMPUTED_VALUE"""),1.05894)</f>
        <v>1.05894</v>
      </c>
      <c r="S44" s="52">
        <f>IFERROR(__xludf.DUMMYFUNCTION("""COMPUTED_VALUE"""),1.34514)</f>
        <v>1.34514</v>
      </c>
      <c r="T44" s="52">
        <f>IFERROR(__xludf.DUMMYFUNCTION("""COMPUTED_VALUE"""),1.27359)</f>
        <v>1.27359</v>
      </c>
      <c r="U44" s="52">
        <f>IFERROR(__xludf.DUMMYFUNCTION("""COMPUTED_VALUE"""),1.20204)</f>
        <v>1.20204</v>
      </c>
      <c r="V44" s="52">
        <f>IFERROR(__xludf.DUMMYFUNCTION("""COMPUTED_VALUE"""),2.91924)</f>
        <v>2.91924</v>
      </c>
      <c r="W44" s="52">
        <f>IFERROR(__xludf.DUMMYFUNCTION("""COMPUTED_VALUE"""),0.97308)</f>
        <v>0.97308</v>
      </c>
    </row>
    <row r="45" ht="12.5" spans="6:23">
      <c r="F45" s="3"/>
      <c r="G45" s="3"/>
      <c r="H45" s="3"/>
      <c r="I45" s="3"/>
      <c r="J45" s="3"/>
      <c r="K45" s="3"/>
      <c r="L45" s="3"/>
      <c r="M45" s="3"/>
      <c r="N45" s="3"/>
      <c r="O45" s="3"/>
      <c r="Q45" s="52" t="str">
        <f>IFERROR(__xludf.DUMMYFUNCTION("""COMPUTED_VALUE"""),"Slippers")</f>
        <v>Slippers</v>
      </c>
      <c r="R45" s="54">
        <f>IFERROR(__xludf.DUMMYFUNCTION("""COMPUTED_VALUE"""),0.825581)</f>
        <v>0.825581</v>
      </c>
      <c r="S45" s="52">
        <f>IFERROR(__xludf.DUMMYFUNCTION("""COMPUTED_VALUE"""),1.048711)</f>
        <v>1.048711</v>
      </c>
      <c r="T45" s="52">
        <f>IFERROR(__xludf.DUMMYFUNCTION("""COMPUTED_VALUE"""),0.9929285)</f>
        <v>0.9929285</v>
      </c>
      <c r="U45" s="52">
        <f>IFERROR(__xludf.DUMMYFUNCTION("""COMPUTED_VALUE"""),0.937146)</f>
        <v>0.937146</v>
      </c>
      <c r="V45" s="52">
        <f>IFERROR(__xludf.DUMMYFUNCTION("""COMPUTED_VALUE"""),2.275926)</f>
        <v>2.275926</v>
      </c>
      <c r="W45" s="52">
        <f>IFERROR(__xludf.DUMMYFUNCTION("""COMPUTED_VALUE"""),0.758642)</f>
        <v>0.758642</v>
      </c>
    </row>
    <row r="46" ht="13" spans="6:23">
      <c r="F46" s="64" t="s">
        <v>516</v>
      </c>
      <c r="H46" s="3" t="s">
        <v>517</v>
      </c>
      <c r="I46" s="3" t="s">
        <v>518</v>
      </c>
      <c r="J46" s="62"/>
      <c r="K46" s="62"/>
      <c r="L46" s="62"/>
      <c r="M46" s="62"/>
      <c r="N46" s="62"/>
      <c r="O46" s="62"/>
      <c r="Q46" s="52" t="str">
        <f>IFERROR(__xludf.DUMMYFUNCTION("""COMPUTED_VALUE"""),"20K MAh powerbank")</f>
        <v>20K MAh powerbank</v>
      </c>
      <c r="R46" s="54">
        <f>IFERROR(__xludf.DUMMYFUNCTION("""COMPUTED_VALUE"""),0.318375)</f>
        <v>0.318375</v>
      </c>
      <c r="S46" s="52">
        <f>IFERROR(__xludf.DUMMYFUNCTION("""COMPUTED_VALUE"""),0.287245)</f>
        <v>0.287245</v>
      </c>
      <c r="T46" s="52" t="str">
        <f>IFERROR(__xludf.DUMMYFUNCTION("""COMPUTED_VALUE"""),"N/A")</f>
        <v>N/A</v>
      </c>
      <c r="U46" s="52">
        <f>IFERROR(__xludf.DUMMYFUNCTION("""COMPUTED_VALUE"""),0.7075)</f>
        <v>0.7075</v>
      </c>
      <c r="V46" s="52" t="str">
        <f>IFERROR(__xludf.DUMMYFUNCTION("""COMPUTED_VALUE"""),"N/A")</f>
        <v>N/A</v>
      </c>
      <c r="W46" s="52" t="str">
        <f>IFERROR(__xludf.DUMMYFUNCTION("""COMPUTED_VALUE"""),"N/A")</f>
        <v>N/A</v>
      </c>
    </row>
    <row r="47" ht="12.5" spans="6:23">
      <c r="F47" s="3" t="s">
        <v>1</v>
      </c>
      <c r="G47" s="65">
        <v>0.082</v>
      </c>
      <c r="H47" s="62">
        <v>0.01</v>
      </c>
      <c r="I47" s="65">
        <f t="shared" ref="I47:I55" si="2">G47+H47</f>
        <v>0.092</v>
      </c>
      <c r="J47" s="3"/>
      <c r="Q47" s="52" t="str">
        <f>IFERROR(__xludf.DUMMYFUNCTION("""COMPUTED_VALUE"""),"10K MAh powerbank")</f>
        <v>10K MAh powerbank</v>
      </c>
      <c r="R47" s="54">
        <f>IFERROR(__xludf.DUMMYFUNCTION("""COMPUTED_VALUE"""),0.318375)</f>
        <v>0.318375</v>
      </c>
      <c r="S47" s="52">
        <f>IFERROR(__xludf.DUMMYFUNCTION("""COMPUTED_VALUE"""),0.287245)</f>
        <v>0.287245</v>
      </c>
      <c r="T47" s="52" t="str">
        <f>IFERROR(__xludf.DUMMYFUNCTION("""COMPUTED_VALUE"""),"N/A")</f>
        <v>N/A</v>
      </c>
      <c r="U47" s="52">
        <f>IFERROR(__xludf.DUMMYFUNCTION("""COMPUTED_VALUE"""),0.7075)</f>
        <v>0.7075</v>
      </c>
      <c r="V47" s="52" t="str">
        <f>IFERROR(__xludf.DUMMYFUNCTION("""COMPUTED_VALUE"""),"N/A")</f>
        <v>N/A</v>
      </c>
      <c r="W47" s="52" t="str">
        <f>IFERROR(__xludf.DUMMYFUNCTION("""COMPUTED_VALUE"""),"N/A")</f>
        <v>N/A</v>
      </c>
    </row>
    <row r="48" ht="12.5" spans="6:23">
      <c r="F48" s="3" t="s">
        <v>48</v>
      </c>
      <c r="G48" s="65">
        <v>0.042</v>
      </c>
      <c r="H48" s="62">
        <v>0.01</v>
      </c>
      <c r="I48" s="65">
        <f t="shared" si="2"/>
        <v>0.052</v>
      </c>
      <c r="J48" s="3"/>
      <c r="Q48" s="52" t="str">
        <f>IFERROR(__xludf.DUMMYFUNCTION("""COMPUTED_VALUE"""),"USB drive 64G")</f>
        <v>USB drive 64G</v>
      </c>
      <c r="R48" s="54">
        <f>IFERROR(__xludf.DUMMYFUNCTION("""COMPUTED_VALUE"""),0.1694304)</f>
        <v>0.1694304</v>
      </c>
      <c r="S48" s="52">
        <f>IFERROR(__xludf.DUMMYFUNCTION("""COMPUTED_VALUE"""),0.2152224)</f>
        <v>0.2152224</v>
      </c>
      <c r="T48" s="52">
        <f>IFERROR(__xludf.DUMMYFUNCTION("""COMPUTED_VALUE"""),0.2037744)</f>
        <v>0.2037744</v>
      </c>
      <c r="U48" s="52">
        <f>IFERROR(__xludf.DUMMYFUNCTION("""COMPUTED_VALUE"""),0.1923264)</f>
        <v>0.1923264</v>
      </c>
      <c r="V48" s="52">
        <f>IFERROR(__xludf.DUMMYFUNCTION("""COMPUTED_VALUE"""),0.4670784)</f>
        <v>0.4670784</v>
      </c>
      <c r="W48" s="52">
        <f>IFERROR(__xludf.DUMMYFUNCTION("""COMPUTED_VALUE"""),0.1556928)</f>
        <v>0.1556928</v>
      </c>
    </row>
    <row r="49" ht="12.5" spans="6:23">
      <c r="F49" s="3" t="s">
        <v>46</v>
      </c>
      <c r="G49" s="65">
        <v>0.127</v>
      </c>
      <c r="H49" s="62">
        <v>0.01</v>
      </c>
      <c r="I49" s="65">
        <f t="shared" si="2"/>
        <v>0.137</v>
      </c>
      <c r="J49" s="3"/>
      <c r="Q49" s="52" t="str">
        <f>IFERROR(__xludf.DUMMYFUNCTION("""COMPUTED_VALUE"""),"USB drive 128G")</f>
        <v>USB drive 128G</v>
      </c>
      <c r="R49" s="54">
        <f>IFERROR(__xludf.DUMMYFUNCTION("""COMPUTED_VALUE"""),0.1694304)</f>
        <v>0.1694304</v>
      </c>
      <c r="S49" s="52">
        <f>IFERROR(__xludf.DUMMYFUNCTION("""COMPUTED_VALUE"""),0.2152224)</f>
        <v>0.2152224</v>
      </c>
      <c r="T49" s="52">
        <f>IFERROR(__xludf.DUMMYFUNCTION("""COMPUTED_VALUE"""),0.2037744)</f>
        <v>0.2037744</v>
      </c>
      <c r="U49" s="52">
        <f>IFERROR(__xludf.DUMMYFUNCTION("""COMPUTED_VALUE"""),0.1923264)</f>
        <v>0.1923264</v>
      </c>
      <c r="V49" s="52">
        <f>IFERROR(__xludf.DUMMYFUNCTION("""COMPUTED_VALUE"""),0.4670784)</f>
        <v>0.4670784</v>
      </c>
      <c r="W49" s="52">
        <f>IFERROR(__xludf.DUMMYFUNCTION("""COMPUTED_VALUE"""),0.1556928)</f>
        <v>0.1556928</v>
      </c>
    </row>
    <row r="50" ht="12.5" spans="6:23">
      <c r="F50" s="3" t="s">
        <v>53</v>
      </c>
      <c r="G50" s="65">
        <v>0.05</v>
      </c>
      <c r="H50" s="62">
        <v>0.01</v>
      </c>
      <c r="I50" s="65">
        <f t="shared" si="2"/>
        <v>0.06</v>
      </c>
      <c r="J50" s="3"/>
      <c r="Q50" s="52" t="str">
        <f>IFERROR(__xludf.DUMMYFUNCTION("""COMPUTED_VALUE"""),"Wireless earphones airpod style")</f>
        <v>Wireless earphones airpod style</v>
      </c>
      <c r="R50" s="54">
        <f>IFERROR(__xludf.DUMMYFUNCTION("""COMPUTED_VALUE"""),0.1384466)</f>
        <v>0.1384466</v>
      </c>
      <c r="S50" s="52">
        <f>IFERROR(__xludf.DUMMYFUNCTION("""COMPUTED_VALUE"""),0.1758646)</f>
        <v>0.1758646</v>
      </c>
      <c r="T50" s="52">
        <f>IFERROR(__xludf.DUMMYFUNCTION("""COMPUTED_VALUE"""),0.1665101)</f>
        <v>0.1665101</v>
      </c>
      <c r="U50" s="52">
        <f>IFERROR(__xludf.DUMMYFUNCTION("""COMPUTED_VALUE"""),0.1571556)</f>
        <v>0.1571556</v>
      </c>
      <c r="V50" s="52">
        <f>IFERROR(__xludf.DUMMYFUNCTION("""COMPUTED_VALUE"""),0.3816636)</f>
        <v>0.3816636</v>
      </c>
      <c r="W50" s="52">
        <f>IFERROR(__xludf.DUMMYFUNCTION("""COMPUTED_VALUE"""),0.1272212)</f>
        <v>0.1272212</v>
      </c>
    </row>
    <row r="51" ht="12.5" spans="6:23">
      <c r="F51" s="3" t="s">
        <v>55</v>
      </c>
      <c r="G51" s="65">
        <v>0.05</v>
      </c>
      <c r="H51" s="62">
        <v>0.01</v>
      </c>
      <c r="I51" s="65">
        <f t="shared" si="2"/>
        <v>0.06</v>
      </c>
      <c r="J51" s="3"/>
      <c r="Q51" s="52" t="str">
        <f>IFERROR(__xludf.DUMMYFUNCTION("""COMPUTED_VALUE"""),"Wireless earphones F9 style")</f>
        <v>Wireless earphones F9 style</v>
      </c>
      <c r="R51" s="54">
        <f>IFERROR(__xludf.DUMMYFUNCTION("""COMPUTED_VALUE"""),0.15566418)</f>
        <v>0.15566418</v>
      </c>
      <c r="S51" s="52">
        <f>IFERROR(__xludf.DUMMYFUNCTION("""COMPUTED_VALUE"""),0.19773558)</f>
        <v>0.19773558</v>
      </c>
      <c r="T51" s="52">
        <f>IFERROR(__xludf.DUMMYFUNCTION("""COMPUTED_VALUE"""),0.18721773)</f>
        <v>0.18721773</v>
      </c>
      <c r="U51" s="52">
        <f>IFERROR(__xludf.DUMMYFUNCTION("""COMPUTED_VALUE"""),0.17669988)</f>
        <v>0.17669988</v>
      </c>
      <c r="V51" s="52">
        <f>IFERROR(__xludf.DUMMYFUNCTION("""COMPUTED_VALUE"""),0.42912828)</f>
        <v>0.42912828</v>
      </c>
      <c r="W51" s="52">
        <f>IFERROR(__xludf.DUMMYFUNCTION("""COMPUTED_VALUE"""),0.14304276)</f>
        <v>0.14304276</v>
      </c>
    </row>
    <row r="52" ht="12.5" spans="6:23">
      <c r="F52" s="3" t="s">
        <v>49</v>
      </c>
      <c r="G52" s="65">
        <v>0.113</v>
      </c>
      <c r="H52" s="62">
        <v>0.01</v>
      </c>
      <c r="I52" s="65">
        <f t="shared" si="2"/>
        <v>0.123</v>
      </c>
      <c r="J52" s="3"/>
      <c r="Q52" s="52" t="str">
        <f>IFERROR(__xludf.DUMMYFUNCTION("""COMPUTED_VALUE"""),"Wireless speaker")</f>
        <v>Wireless speaker</v>
      </c>
      <c r="R52" s="54">
        <f>IFERROR(__xludf.DUMMYFUNCTION("""COMPUTED_VALUE"""),0.6494832)</f>
        <v>0.6494832</v>
      </c>
      <c r="S52" s="52">
        <f>IFERROR(__xludf.DUMMYFUNCTION("""COMPUTED_VALUE"""),0.8250192)</f>
        <v>0.8250192</v>
      </c>
      <c r="T52" s="52">
        <f>IFERROR(__xludf.DUMMYFUNCTION("""COMPUTED_VALUE"""),0.7811352)</f>
        <v>0.7811352</v>
      </c>
      <c r="U52" s="52">
        <f>IFERROR(__xludf.DUMMYFUNCTION("""COMPUTED_VALUE"""),0.7372512)</f>
        <v>0.7372512</v>
      </c>
      <c r="V52" s="52">
        <f>IFERROR(__xludf.DUMMYFUNCTION("""COMPUTED_VALUE"""),1.7904672)</f>
        <v>1.7904672</v>
      </c>
      <c r="W52" s="52">
        <f>IFERROR(__xludf.DUMMYFUNCTION("""COMPUTED_VALUE"""),0.5968224)</f>
        <v>0.5968224</v>
      </c>
    </row>
    <row r="53" ht="12.5" spans="6:23">
      <c r="F53" s="3" t="s">
        <v>44</v>
      </c>
      <c r="G53" s="65">
        <v>0.391</v>
      </c>
      <c r="H53" s="62">
        <v>0.01</v>
      </c>
      <c r="I53" s="65">
        <f t="shared" si="2"/>
        <v>0.401</v>
      </c>
      <c r="J53" s="3"/>
      <c r="Q53" s="52" t="str">
        <f>IFERROR(__xludf.DUMMYFUNCTION("""COMPUTED_VALUE"""),"Smartwatch")</f>
        <v>Smartwatch</v>
      </c>
      <c r="R53" s="54">
        <f>IFERROR(__xludf.DUMMYFUNCTION("""COMPUTED_VALUE"""),0.376512)</f>
        <v>0.376512</v>
      </c>
      <c r="S53" s="52">
        <f>IFERROR(__xludf.DUMMYFUNCTION("""COMPUTED_VALUE"""),0.478272)</f>
        <v>0.478272</v>
      </c>
      <c r="T53" s="52">
        <f>IFERROR(__xludf.DUMMYFUNCTION("""COMPUTED_VALUE"""),0.452832)</f>
        <v>0.452832</v>
      </c>
      <c r="U53" s="52">
        <f>IFERROR(__xludf.DUMMYFUNCTION("""COMPUTED_VALUE"""),0.427392)</f>
        <v>0.427392</v>
      </c>
      <c r="V53" s="52">
        <f>IFERROR(__xludf.DUMMYFUNCTION("""COMPUTED_VALUE"""),1.037952)</f>
        <v>1.037952</v>
      </c>
      <c r="W53" s="52">
        <f>IFERROR(__xludf.DUMMYFUNCTION("""COMPUTED_VALUE"""),0.345984)</f>
        <v>0.345984</v>
      </c>
    </row>
    <row r="54" ht="12.5" spans="6:23">
      <c r="F54" s="3" t="s">
        <v>486</v>
      </c>
      <c r="G54" s="65">
        <v>0.01</v>
      </c>
      <c r="H54" s="62">
        <v>0.01</v>
      </c>
      <c r="I54" s="65">
        <f t="shared" si="2"/>
        <v>0.02</v>
      </c>
      <c r="J54" s="3"/>
      <c r="Q54" s="52" t="str">
        <f>IFERROR(__xludf.DUMMYFUNCTION("""COMPUTED_VALUE"""),"Feature phone")</f>
        <v>Feature phone</v>
      </c>
      <c r="R54" s="54">
        <f>IFERROR(__xludf.DUMMYFUNCTION("""COMPUTED_VALUE"""),0.3185)</f>
        <v>0.3185</v>
      </c>
      <c r="S54" s="71">
        <f>IFERROR(__xludf.DUMMYFUNCTION("""COMPUTED_VALUE"""),0.6076)</f>
        <v>0.6076</v>
      </c>
      <c r="T54" s="71">
        <f>IFERROR(__xludf.DUMMYFUNCTION("""COMPUTED_VALUE"""),0.735)</f>
        <v>0.735</v>
      </c>
      <c r="U54" s="71">
        <f>IFERROR(__xludf.DUMMYFUNCTION("""COMPUTED_VALUE"""),1)</f>
        <v>1</v>
      </c>
      <c r="V54" s="52" t="str">
        <f>IFERROR(__xludf.DUMMYFUNCTION("""COMPUTED_VALUE"""),"N/A")</f>
        <v>N/A</v>
      </c>
      <c r="W54" s="71">
        <f>IFERROR(__xludf.DUMMYFUNCTION("""COMPUTED_VALUE"""),0.357699999999999)</f>
        <v>0.357699999999999</v>
      </c>
    </row>
    <row r="55" ht="12.5" spans="6:23">
      <c r="F55" s="3" t="s">
        <v>51</v>
      </c>
      <c r="G55" s="65">
        <v>0.125</v>
      </c>
      <c r="H55" s="62">
        <v>0.01</v>
      </c>
      <c r="I55" s="65">
        <f t="shared" si="2"/>
        <v>0.135</v>
      </c>
      <c r="J55" s="3"/>
      <c r="Q55" s="52" t="str">
        <f>IFERROR(__xludf.DUMMYFUNCTION("""COMPUTED_VALUE"""),"Laptop mouse")</f>
        <v>Laptop mouse</v>
      </c>
      <c r="R55" s="54">
        <f>IFERROR(__xludf.DUMMYFUNCTION("""COMPUTED_VALUE"""),0.20967012)</f>
        <v>0.20967012</v>
      </c>
      <c r="S55" s="52">
        <f>IFERROR(__xludf.DUMMYFUNCTION("""COMPUTED_VALUE"""),0.26633772)</f>
        <v>0.26633772</v>
      </c>
      <c r="T55" s="52">
        <f>IFERROR(__xludf.DUMMYFUNCTION("""COMPUTED_VALUE"""),0.25217082)</f>
        <v>0.25217082</v>
      </c>
      <c r="U55" s="52">
        <f>IFERROR(__xludf.DUMMYFUNCTION("""COMPUTED_VALUE"""),0.23800392)</f>
        <v>0.23800392</v>
      </c>
      <c r="V55" s="52">
        <f>IFERROR(__xludf.DUMMYFUNCTION("""COMPUTED_VALUE"""),0.57800952)</f>
        <v>0.57800952</v>
      </c>
      <c r="W55" s="52">
        <f>IFERROR(__xludf.DUMMYFUNCTION("""COMPUTED_VALUE"""),0.19266984)</f>
        <v>0.19266984</v>
      </c>
    </row>
    <row r="56" ht="12.5" spans="6:23">
      <c r="F56" s="3"/>
      <c r="G56" s="3"/>
      <c r="H56" s="3"/>
      <c r="I56" s="3"/>
      <c r="J56" s="3"/>
      <c r="Q56" s="52" t="str">
        <f>IFERROR(__xludf.DUMMYFUNCTION("""COMPUTED_VALUE"""),"Basic toolkit")</f>
        <v>Basic toolkit</v>
      </c>
      <c r="R56" s="54">
        <f>IFERROR(__xludf.DUMMYFUNCTION("""COMPUTED_VALUE"""),1.63416666666666)</f>
        <v>1.63416666666666</v>
      </c>
      <c r="S56" s="52">
        <f>IFERROR(__xludf.DUMMYFUNCTION("""COMPUTED_VALUE"""),2.07583333333333)</f>
        <v>2.07583333333333</v>
      </c>
      <c r="T56" s="52">
        <f>IFERROR(__xludf.DUMMYFUNCTION("""COMPUTED_VALUE"""),1.96541666666666)</f>
        <v>1.96541666666666</v>
      </c>
      <c r="U56" s="52">
        <f>IFERROR(__xludf.DUMMYFUNCTION("""COMPUTED_VALUE"""),1.855)</f>
        <v>1.855</v>
      </c>
      <c r="V56" s="52">
        <f>IFERROR(__xludf.DUMMYFUNCTION("""COMPUTED_VALUE"""),4.505)</f>
        <v>4.505</v>
      </c>
      <c r="W56" s="52">
        <f>IFERROR(__xludf.DUMMYFUNCTION("""COMPUTED_VALUE"""),1.50166666666666)</f>
        <v>1.50166666666666</v>
      </c>
    </row>
    <row r="57" ht="12.5" spans="6:23">
      <c r="F57" s="3"/>
      <c r="G57" s="3"/>
      <c r="H57" s="3"/>
      <c r="I57" s="3"/>
      <c r="J57" s="3"/>
      <c r="Q57" s="52" t="str">
        <f>IFERROR(__xludf.DUMMYFUNCTION("""COMPUTED_VALUE"""),"Hand towel")</f>
        <v>Hand towel</v>
      </c>
      <c r="R57" s="54">
        <f>IFERROR(__xludf.DUMMYFUNCTION("""COMPUTED_VALUE"""),0.11766)</f>
        <v>0.11766</v>
      </c>
      <c r="S57" s="52">
        <f>IFERROR(__xludf.DUMMYFUNCTION("""COMPUTED_VALUE"""),0.14946)</f>
        <v>0.14946</v>
      </c>
      <c r="T57" s="52">
        <f>IFERROR(__xludf.DUMMYFUNCTION("""COMPUTED_VALUE"""),0.14151)</f>
        <v>0.14151</v>
      </c>
      <c r="U57" s="52">
        <f>IFERROR(__xludf.DUMMYFUNCTION("""COMPUTED_VALUE"""),0.13356)</f>
        <v>0.13356</v>
      </c>
      <c r="V57" s="52">
        <f>IFERROR(__xludf.DUMMYFUNCTION("""COMPUTED_VALUE"""),0.32436)</f>
        <v>0.32436</v>
      </c>
      <c r="W57" s="52">
        <f>IFERROR(__xludf.DUMMYFUNCTION("""COMPUTED_VALUE"""),0.10812)</f>
        <v>0.10812</v>
      </c>
    </row>
    <row r="58" ht="12.5" spans="6:23">
      <c r="F58" s="3"/>
      <c r="G58" s="3"/>
      <c r="H58" s="3"/>
      <c r="I58" s="3"/>
      <c r="J58" s="3"/>
      <c r="Q58" s="52" t="str">
        <f>IFERROR(__xludf.DUMMYFUNCTION("""COMPUTED_VALUE"""),"Shower/Bath towel")</f>
        <v>Shower/Bath towel</v>
      </c>
      <c r="R58" s="54">
        <f>IFERROR(__xludf.DUMMYFUNCTION("""COMPUTED_VALUE"""),0.5883)</f>
        <v>0.5883</v>
      </c>
      <c r="S58" s="52">
        <f>IFERROR(__xludf.DUMMYFUNCTION("""COMPUTED_VALUE"""),0.7473)</f>
        <v>0.7473</v>
      </c>
      <c r="T58" s="52">
        <f>IFERROR(__xludf.DUMMYFUNCTION("""COMPUTED_VALUE"""),0.70755)</f>
        <v>0.70755</v>
      </c>
      <c r="U58" s="52">
        <f>IFERROR(__xludf.DUMMYFUNCTION("""COMPUTED_VALUE"""),0.6678)</f>
        <v>0.6678</v>
      </c>
      <c r="V58" s="52">
        <f>IFERROR(__xludf.DUMMYFUNCTION("""COMPUTED_VALUE"""),1.6218)</f>
        <v>1.6218</v>
      </c>
      <c r="W58" s="52">
        <f>IFERROR(__xludf.DUMMYFUNCTION("""COMPUTED_VALUE"""),0.5406)</f>
        <v>0.5406</v>
      </c>
    </row>
    <row r="59" ht="12.5" spans="6:23">
      <c r="F59" s="3"/>
      <c r="G59" s="3"/>
      <c r="H59" s="3"/>
      <c r="I59" s="3"/>
      <c r="J59" s="3"/>
      <c r="Q59" s="52" t="str">
        <f>IFERROR(__xludf.DUMMYFUNCTION("""COMPUTED_VALUE"""),"Fan- Small")</f>
        <v>Fan- Small</v>
      </c>
      <c r="R59" s="54">
        <f>IFERROR(__xludf.DUMMYFUNCTION("""COMPUTED_VALUE"""),1.245235)</f>
        <v>1.245235</v>
      </c>
      <c r="S59" s="52">
        <f>IFERROR(__xludf.DUMMYFUNCTION("""COMPUTED_VALUE"""),1.581785)</f>
        <v>1.581785</v>
      </c>
      <c r="T59" s="52">
        <f>IFERROR(__xludf.DUMMYFUNCTION("""COMPUTED_VALUE"""),1.4976475)</f>
        <v>1.4976475</v>
      </c>
      <c r="U59" s="52">
        <f>IFERROR(__xludf.DUMMYFUNCTION("""COMPUTED_VALUE"""),1.41351)</f>
        <v>1.41351</v>
      </c>
      <c r="V59" s="52">
        <f>IFERROR(__xludf.DUMMYFUNCTION("""COMPUTED_VALUE"""),3.43281)</f>
        <v>3.43281</v>
      </c>
      <c r="W59" s="52">
        <f>IFERROR(__xludf.DUMMYFUNCTION("""COMPUTED_VALUE"""),1.14427)</f>
        <v>1.14427</v>
      </c>
    </row>
    <row r="60" ht="12.5" spans="6:23">
      <c r="F60" s="3"/>
      <c r="G60" s="3"/>
      <c r="H60" s="3"/>
      <c r="I60" s="3"/>
      <c r="J60" s="3"/>
      <c r="Q60" s="52" t="str">
        <f>IFERROR(__xludf.DUMMYFUNCTION("""COMPUTED_VALUE"""),"Power strip")</f>
        <v>Power strip</v>
      </c>
      <c r="R60" s="54">
        <f>IFERROR(__xludf.DUMMYFUNCTION("""COMPUTED_VALUE"""),0.52523424)</f>
        <v>0.52523424</v>
      </c>
      <c r="S60" s="52">
        <f>IFERROR(__xludf.DUMMYFUNCTION("""COMPUTED_VALUE"""),0.66718944)</f>
        <v>0.66718944</v>
      </c>
      <c r="T60" s="52">
        <f>IFERROR(__xludf.DUMMYFUNCTION("""COMPUTED_VALUE"""),0.63170064)</f>
        <v>0.63170064</v>
      </c>
      <c r="U60" s="52">
        <f>IFERROR(__xludf.DUMMYFUNCTION("""COMPUTED_VALUE"""),0.59621184)</f>
        <v>0.59621184</v>
      </c>
      <c r="V60" s="52">
        <f>IFERROR(__xludf.DUMMYFUNCTION("""COMPUTED_VALUE"""),1.44794304)</f>
        <v>1.44794304</v>
      </c>
      <c r="W60" s="52">
        <f>IFERROR(__xludf.DUMMYFUNCTION("""COMPUTED_VALUE"""),0.48264768)</f>
        <v>0.48264768</v>
      </c>
    </row>
    <row r="61" ht="12.5" spans="6:23">
      <c r="F61" s="3"/>
      <c r="G61" s="3"/>
      <c r="H61" s="3"/>
      <c r="I61" s="3"/>
      <c r="J61" s="3"/>
      <c r="Q61" s="52" t="str">
        <f>IFERROR(__xludf.DUMMYFUNCTION("""COMPUTED_VALUE"""),"Hair Dryer")</f>
        <v>Hair Dryer</v>
      </c>
      <c r="R61" s="54">
        <f>IFERROR(__xludf.DUMMYFUNCTION("""COMPUTED_VALUE"""),1.42474820833333)</f>
        <v>1.42474820833333</v>
      </c>
      <c r="S61" s="52">
        <f>IFERROR(__xludf.DUMMYFUNCTION("""COMPUTED_VALUE"""),1.80981529166666)</f>
        <v>1.80981529166666</v>
      </c>
      <c r="T61" s="52">
        <f>IFERROR(__xludf.DUMMYFUNCTION("""COMPUTED_VALUE"""),1.71354852083333)</f>
        <v>1.71354852083333</v>
      </c>
      <c r="U61" s="52">
        <f>IFERROR(__xludf.DUMMYFUNCTION("""COMPUTED_VALUE"""),1.61728175)</f>
        <v>1.61728175</v>
      </c>
      <c r="V61" s="52">
        <f>IFERROR(__xludf.DUMMYFUNCTION("""COMPUTED_VALUE"""),3.92768425)</f>
        <v>3.92768425</v>
      </c>
      <c r="W61" s="52">
        <f>IFERROR(__xludf.DUMMYFUNCTION("""COMPUTED_VALUE"""),1.30922808333333)</f>
        <v>1.30922808333333</v>
      </c>
    </row>
    <row r="62" ht="12.5" spans="6:23">
      <c r="F62" s="3"/>
      <c r="G62" s="3"/>
      <c r="H62" s="3"/>
      <c r="I62" s="3"/>
      <c r="J62" s="3"/>
      <c r="Q62" s="52" t="str">
        <f>IFERROR(__xludf.DUMMYFUNCTION("""COMPUTED_VALUE"""),"Hair Clipper")</f>
        <v>Hair Clipper</v>
      </c>
      <c r="R62" s="54">
        <f>IFERROR(__xludf.DUMMYFUNCTION("""COMPUTED_VALUE"""),0.23402574)</f>
        <v>0.23402574</v>
      </c>
      <c r="S62" s="52">
        <f>IFERROR(__xludf.DUMMYFUNCTION("""COMPUTED_VALUE"""),0.29727594)</f>
        <v>0.29727594</v>
      </c>
      <c r="T62" s="52">
        <f>IFERROR(__xludf.DUMMYFUNCTION("""COMPUTED_VALUE"""),0.28146339)</f>
        <v>0.28146339</v>
      </c>
      <c r="U62" s="52">
        <f>IFERROR(__xludf.DUMMYFUNCTION("""COMPUTED_VALUE"""),0.26565084)</f>
        <v>0.26565084</v>
      </c>
      <c r="V62" s="52">
        <f>IFERROR(__xludf.DUMMYFUNCTION("""COMPUTED_VALUE"""),0.64515204)</f>
        <v>0.64515204</v>
      </c>
      <c r="W62" s="52">
        <f>IFERROR(__xludf.DUMMYFUNCTION("""COMPUTED_VALUE"""),0.21505068)</f>
        <v>0.21505068</v>
      </c>
    </row>
    <row r="63" ht="12.5" spans="6:23">
      <c r="F63" s="3"/>
      <c r="G63" s="3"/>
      <c r="H63" s="3"/>
      <c r="I63" s="3"/>
      <c r="J63" s="3"/>
      <c r="Q63" s="52" t="str">
        <f>IFERROR(__xludf.DUMMYFUNCTION("""COMPUTED_VALUE"""),"Kettle")</f>
        <v>Kettle</v>
      </c>
      <c r="R63" s="54">
        <f>IFERROR(__xludf.DUMMYFUNCTION("""COMPUTED_VALUE"""),2.95548846666666)</f>
        <v>2.95548846666666</v>
      </c>
      <c r="S63" s="52">
        <f>IFERROR(__xludf.DUMMYFUNCTION("""COMPUTED_VALUE"""),3.75426913333333)</f>
        <v>3.75426913333333</v>
      </c>
      <c r="T63" s="52">
        <f>IFERROR(__xludf.DUMMYFUNCTION("""COMPUTED_VALUE"""),3.55457396666666)</f>
        <v>3.55457396666666</v>
      </c>
      <c r="U63" s="52">
        <f>IFERROR(__xludf.DUMMYFUNCTION("""COMPUTED_VALUE"""),3.3548788)</f>
        <v>3.3548788</v>
      </c>
      <c r="V63" s="52">
        <f>IFERROR(__xludf.DUMMYFUNCTION("""COMPUTED_VALUE"""),8.1475628)</f>
        <v>8.1475628</v>
      </c>
      <c r="W63" s="52">
        <f>IFERROR(__xludf.DUMMYFUNCTION("""COMPUTED_VALUE"""),2.71585426666666)</f>
        <v>2.71585426666666</v>
      </c>
    </row>
    <row r="64" ht="12.5" spans="6:23">
      <c r="F64" s="3"/>
      <c r="G64" s="3"/>
      <c r="H64" s="3"/>
      <c r="I64" s="3"/>
      <c r="J64" s="3"/>
      <c r="Q64" s="52" t="str">
        <f>IFERROR(__xludf.DUMMYFUNCTION("""COMPUTED_VALUE"""),"Iron ")</f>
        <v>Iron </v>
      </c>
      <c r="R64" s="54">
        <f>IFERROR(__xludf.DUMMYFUNCTION("""COMPUTED_VALUE"""),2.95548846666666)</f>
        <v>2.95548846666666</v>
      </c>
      <c r="S64" s="52">
        <f>IFERROR(__xludf.DUMMYFUNCTION("""COMPUTED_VALUE"""),3.75426913333333)</f>
        <v>3.75426913333333</v>
      </c>
      <c r="T64" s="52">
        <f>IFERROR(__xludf.DUMMYFUNCTION("""COMPUTED_VALUE"""),3.55457396666666)</f>
        <v>3.55457396666666</v>
      </c>
      <c r="U64" s="52">
        <f>IFERROR(__xludf.DUMMYFUNCTION("""COMPUTED_VALUE"""),3.3548788)</f>
        <v>3.3548788</v>
      </c>
      <c r="V64" s="52">
        <f>IFERROR(__xludf.DUMMYFUNCTION("""COMPUTED_VALUE"""),8.1475628)</f>
        <v>8.1475628</v>
      </c>
      <c r="W64" s="52">
        <f>IFERROR(__xludf.DUMMYFUNCTION("""COMPUTED_VALUE"""),2.71585426666666)</f>
        <v>2.71585426666666</v>
      </c>
    </row>
    <row r="65" ht="12.5" spans="6:10">
      <c r="F65" s="3"/>
      <c r="G65" s="3"/>
      <c r="H65" s="3"/>
      <c r="I65" s="3"/>
      <c r="J65" s="3"/>
    </row>
    <row r="66" ht="12.5" spans="6:10">
      <c r="F66" s="3"/>
      <c r="G66" s="3"/>
      <c r="H66" s="3"/>
      <c r="I66" s="3"/>
      <c r="J66" s="3"/>
    </row>
    <row r="67" ht="12.5" spans="6:10">
      <c r="F67" s="3"/>
      <c r="G67" s="3"/>
      <c r="H67" s="3"/>
      <c r="I67" s="3"/>
      <c r="J67" s="3"/>
    </row>
    <row r="68" ht="12.5" spans="6:10">
      <c r="F68" s="3"/>
      <c r="G68" s="3"/>
      <c r="H68" s="3"/>
      <c r="I68" s="3"/>
      <c r="J68" s="3"/>
    </row>
    <row r="69" ht="12.5" spans="6:10">
      <c r="F69" s="3"/>
      <c r="G69" s="3"/>
      <c r="H69" s="3"/>
      <c r="I69" s="3"/>
      <c r="J69" s="3"/>
    </row>
    <row r="70" ht="12.5" spans="6:10">
      <c r="F70" s="3"/>
      <c r="G70" s="3"/>
      <c r="H70" s="3"/>
      <c r="I70" s="3"/>
      <c r="J70" s="3"/>
    </row>
    <row r="71" ht="12.5" spans="6:10">
      <c r="F71" s="3"/>
      <c r="G71" s="3"/>
      <c r="H71" s="3"/>
      <c r="I71" s="3"/>
      <c r="J71" s="3"/>
    </row>
    <row r="72" ht="12.5" spans="6:10">
      <c r="F72" s="3"/>
      <c r="G72" s="3"/>
      <c r="H72" s="3"/>
      <c r="I72" s="3"/>
      <c r="J72" s="3"/>
    </row>
    <row r="73" ht="12.5" spans="6:10">
      <c r="F73" s="3"/>
      <c r="G73" s="3"/>
      <c r="H73" s="3"/>
      <c r="I73" s="3"/>
      <c r="J73" s="3"/>
    </row>
    <row r="74" ht="12.5" spans="6:10">
      <c r="F74" s="3"/>
      <c r="G74" s="3"/>
      <c r="H74" s="3"/>
      <c r="I74" s="3"/>
      <c r="J74" s="3"/>
    </row>
    <row r="75" ht="12.5" spans="6:20">
      <c r="F75" s="3"/>
      <c r="G75" s="3"/>
      <c r="H75" s="3"/>
      <c r="I75" s="3"/>
      <c r="J75" s="3"/>
      <c r="Q75" s="52" t="str">
        <f>IFERROR(__xludf.DUMMYFUNCTION("importrange(""https://docs.google.com/spreadsheets/d/1z7jycMnrpjJCCQulnYGqilwkOCyHzRQQkSYj0wLoXIE/edit#gid=469319901"",""purchase cost!a1:d44"")"),"Category")</f>
        <v>Category</v>
      </c>
      <c r="R75" s="52" t="str">
        <f>IFERROR(__xludf.DUMMYFUNCTION("""COMPUTED_VALUE"""),"Basic assortment")</f>
        <v>Basic assortment</v>
      </c>
      <c r="S75" s="52" t="str">
        <f>IFERROR(__xludf.DUMMYFUNCTION("""COMPUTED_VALUE"""),"Purchase cost in RMB")</f>
        <v>Purchase cost in RMB</v>
      </c>
      <c r="T75" s="52" t="str">
        <f>IFERROR(__xludf.DUMMYFUNCTION("""COMPUTED_VALUE"""),"Purchase cost in USD")</f>
        <v>Purchase cost in USD</v>
      </c>
    </row>
    <row r="76" ht="12.5" spans="6:20">
      <c r="F76" s="3"/>
      <c r="G76" s="3"/>
      <c r="H76" s="3"/>
      <c r="I76" s="3"/>
      <c r="J76" s="3"/>
      <c r="Q76" s="52" t="str">
        <f>IFERROR(__xludf.DUMMYFUNCTION("""COMPUTED_VALUE"""),"Fashion / Fashion accessories")</f>
        <v>Fashion / Fashion accessories</v>
      </c>
      <c r="R76" s="52" t="str">
        <f>IFERROR(__xludf.DUMMYFUNCTION("""COMPUTED_VALUE"""),"T-shirt")</f>
        <v>T-shirt</v>
      </c>
      <c r="S76" s="52">
        <f>IFERROR(__xludf.DUMMYFUNCTION("""COMPUTED_VALUE"""),5.8)</f>
        <v>5.8</v>
      </c>
      <c r="T76" s="52">
        <f>IFERROR(__xludf.DUMMYFUNCTION("""COMPUTED_VALUE"""),0.812)</f>
        <v>0.812</v>
      </c>
    </row>
    <row r="77" ht="12.5" spans="6:20">
      <c r="F77" s="3"/>
      <c r="G77" s="3"/>
      <c r="H77" s="3"/>
      <c r="I77" s="3"/>
      <c r="J77" s="3"/>
      <c r="Q77" s="52" t="str">
        <f>IFERROR(__xludf.DUMMYFUNCTION("""COMPUTED_VALUE"""),"Fashion / Fashion accessories")</f>
        <v>Fashion / Fashion accessories</v>
      </c>
      <c r="R77" s="52" t="str">
        <f>IFERROR(__xludf.DUMMYFUNCTION("""COMPUTED_VALUE"""),"shirt ")</f>
        <v>shirt </v>
      </c>
      <c r="S77" s="52">
        <f>IFERROR(__xludf.DUMMYFUNCTION("""COMPUTED_VALUE"""),13.9)</f>
        <v>13.9</v>
      </c>
      <c r="T77" s="52">
        <f>IFERROR(__xludf.DUMMYFUNCTION("""COMPUTED_VALUE"""),1.946)</f>
        <v>1.946</v>
      </c>
    </row>
    <row r="78" ht="12.5" spans="6:20">
      <c r="F78" s="3"/>
      <c r="G78" s="3"/>
      <c r="H78" s="3"/>
      <c r="I78" s="3"/>
      <c r="J78" s="3"/>
      <c r="Q78" s="52" t="str">
        <f>IFERROR(__xludf.DUMMYFUNCTION("""COMPUTED_VALUE"""),"Fashion / Fashion accessories")</f>
        <v>Fashion / Fashion accessories</v>
      </c>
      <c r="R78" s="52" t="str">
        <f>IFERROR(__xludf.DUMMYFUNCTION("""COMPUTED_VALUE"""),"trousers")</f>
        <v>trousers</v>
      </c>
      <c r="S78" s="52">
        <f>IFERROR(__xludf.DUMMYFUNCTION("""COMPUTED_VALUE"""),14)</f>
        <v>14</v>
      </c>
      <c r="T78" s="52">
        <f>IFERROR(__xludf.DUMMYFUNCTION("""COMPUTED_VALUE"""),1.96)</f>
        <v>1.96</v>
      </c>
    </row>
    <row r="79" ht="12.5" spans="6:20">
      <c r="F79" s="3"/>
      <c r="G79" s="3"/>
      <c r="H79" s="3"/>
      <c r="I79" s="3"/>
      <c r="J79" s="3"/>
      <c r="Q79" s="52" t="str">
        <f>IFERROR(__xludf.DUMMYFUNCTION("""COMPUTED_VALUE"""),"Fashion / Fashion accessories")</f>
        <v>Fashion / Fashion accessories</v>
      </c>
      <c r="R79" s="52" t="str">
        <f>IFERROR(__xludf.DUMMYFUNCTION("""COMPUTED_VALUE"""),"Underwear pack of 4")</f>
        <v>Underwear pack of 4</v>
      </c>
      <c r="S79" s="52">
        <f>IFERROR(__xludf.DUMMYFUNCTION("""COMPUTED_VALUE"""),18)</f>
        <v>18</v>
      </c>
      <c r="T79" s="52">
        <f>IFERROR(__xludf.DUMMYFUNCTION("""COMPUTED_VALUE"""),2.52)</f>
        <v>2.52</v>
      </c>
    </row>
    <row r="80" ht="12.5" spans="6:20">
      <c r="F80" s="3"/>
      <c r="G80" s="3"/>
      <c r="H80" s="3"/>
      <c r="I80" s="3"/>
      <c r="J80" s="3"/>
      <c r="Q80" s="52" t="str">
        <f>IFERROR(__xludf.DUMMYFUNCTION("""COMPUTED_VALUE"""),"Fashion / Fashion accessories")</f>
        <v>Fashion / Fashion accessories</v>
      </c>
      <c r="R80" s="52" t="str">
        <f>IFERROR(__xludf.DUMMYFUNCTION("""COMPUTED_VALUE"""),"Socks pack of six")</f>
        <v>Socks pack of six</v>
      </c>
      <c r="S80" s="52">
        <f>IFERROR(__xludf.DUMMYFUNCTION("""COMPUTED_VALUE"""),6)</f>
        <v>6</v>
      </c>
      <c r="T80" s="52">
        <f>IFERROR(__xludf.DUMMYFUNCTION("""COMPUTED_VALUE"""),0.375)</f>
        <v>0.375</v>
      </c>
    </row>
    <row r="81" ht="12.5" spans="6:20">
      <c r="F81" s="3"/>
      <c r="G81" s="3"/>
      <c r="H81" s="3"/>
      <c r="I81" s="3"/>
      <c r="J81" s="3"/>
      <c r="Q81" s="52" t="str">
        <f>IFERROR(__xludf.DUMMYFUNCTION("""COMPUTED_VALUE"""),"Fashion / Fashion accessories")</f>
        <v>Fashion / Fashion accessories</v>
      </c>
      <c r="R81" s="52" t="str">
        <f>IFERROR(__xludf.DUMMYFUNCTION("""COMPUTED_VALUE"""),"Hoodie/ Jacket")</f>
        <v>Hoodie/ Jacket</v>
      </c>
      <c r="S81" s="52">
        <f>IFERROR(__xludf.DUMMYFUNCTION("""COMPUTED_VALUE"""),21)</f>
        <v>21</v>
      </c>
      <c r="T81" s="52">
        <f>IFERROR(__xludf.DUMMYFUNCTION("""COMPUTED_VALUE"""),2.94)</f>
        <v>2.94</v>
      </c>
    </row>
    <row r="82" ht="12.5" spans="6:20">
      <c r="F82" s="3"/>
      <c r="G82" s="3"/>
      <c r="H82" s="3"/>
      <c r="I82" s="3"/>
      <c r="J82" s="3"/>
      <c r="Q82" s="52" t="str">
        <f>IFERROR(__xludf.DUMMYFUNCTION("""COMPUTED_VALUE"""),"Fashion / Fashion accessories")</f>
        <v>Fashion / Fashion accessories</v>
      </c>
      <c r="R82" s="52" t="str">
        <f>IFERROR(__xludf.DUMMYFUNCTION("""COMPUTED_VALUE"""),"Set of black short &amp; shirt for men")</f>
        <v>Set of black short &amp; shirt for men</v>
      </c>
      <c r="S82" s="52">
        <f>IFERROR(__xludf.DUMMYFUNCTION("""COMPUTED_VALUE"""),13)</f>
        <v>13</v>
      </c>
      <c r="T82" s="52">
        <f>IFERROR(__xludf.DUMMYFUNCTION("""COMPUTED_VALUE"""),1.82)</f>
        <v>1.82</v>
      </c>
    </row>
    <row r="83" ht="12.5" spans="6:20">
      <c r="F83" s="3"/>
      <c r="G83" s="3"/>
      <c r="H83" s="3"/>
      <c r="I83" s="3"/>
      <c r="J83" s="3"/>
      <c r="Q83" s="52" t="str">
        <f>IFERROR(__xludf.DUMMYFUNCTION("""COMPUTED_VALUE"""),"Fashion / Fashion accessories")</f>
        <v>Fashion / Fashion accessories</v>
      </c>
      <c r="R83" s="52" t="str">
        <f>IFERROR(__xludf.DUMMYFUNCTION("""COMPUTED_VALUE"""),"Women underwear  pack of 4")</f>
        <v>Women underwear  pack of 4</v>
      </c>
      <c r="S83" s="52">
        <f>IFERROR(__xludf.DUMMYFUNCTION("""COMPUTED_VALUE"""),10.4)</f>
        <v>10.4</v>
      </c>
      <c r="T83" s="52">
        <f>IFERROR(__xludf.DUMMYFUNCTION("""COMPUTED_VALUE"""),1.456)</f>
        <v>1.456</v>
      </c>
    </row>
    <row r="84" ht="12.5" spans="6:20">
      <c r="F84" s="3"/>
      <c r="G84" s="3"/>
      <c r="H84" s="3"/>
      <c r="I84" s="3"/>
      <c r="J84" s="3"/>
      <c r="Q84" s="52" t="str">
        <f>IFERROR(__xludf.DUMMYFUNCTION("""COMPUTED_VALUE"""),"Fashion / Fashion accessories")</f>
        <v>Fashion / Fashion accessories</v>
      </c>
      <c r="R84" s="52" t="str">
        <f>IFERROR(__xludf.DUMMYFUNCTION("""COMPUTED_VALUE"""),"bra pack of two")</f>
        <v>bra pack of two</v>
      </c>
      <c r="S84" s="52">
        <f>IFERROR(__xludf.DUMMYFUNCTION("""COMPUTED_VALUE"""),67)</f>
        <v>67</v>
      </c>
      <c r="T84" s="52">
        <f>IFERROR(__xludf.DUMMYFUNCTION("""COMPUTED_VALUE"""),9.38)</f>
        <v>9.38</v>
      </c>
    </row>
    <row r="85" ht="12.5" spans="6:20">
      <c r="F85" s="3"/>
      <c r="G85" s="3"/>
      <c r="H85" s="3"/>
      <c r="I85" s="3"/>
      <c r="J85" s="3"/>
      <c r="Q85" s="52" t="str">
        <f>IFERROR(__xludf.DUMMYFUNCTION("""COMPUTED_VALUE"""),"Fashion / Fashion accessories")</f>
        <v>Fashion / Fashion accessories</v>
      </c>
      <c r="R85" s="52" t="str">
        <f>IFERROR(__xludf.DUMMYFUNCTION("""COMPUTED_VALUE"""),"Women dress")</f>
        <v>Women dress</v>
      </c>
      <c r="S85" s="52">
        <f>IFERROR(__xludf.DUMMYFUNCTION("""COMPUTED_VALUE"""),35)</f>
        <v>35</v>
      </c>
      <c r="T85" s="52">
        <f>IFERROR(__xludf.DUMMYFUNCTION("""COMPUTED_VALUE"""),4.9)</f>
        <v>4.9</v>
      </c>
    </row>
    <row r="86" ht="12.5" spans="6:20">
      <c r="F86" s="3"/>
      <c r="G86" s="3"/>
      <c r="H86" s="3"/>
      <c r="I86" s="3"/>
      <c r="J86" s="3"/>
      <c r="Q86" s="52" t="str">
        <f>IFERROR(__xludf.DUMMYFUNCTION("""COMPUTED_VALUE"""),"Fashion / Fashion accessories")</f>
        <v>Fashion / Fashion accessories</v>
      </c>
      <c r="R86" s="52" t="str">
        <f>IFERROR(__xludf.DUMMYFUNCTION("""COMPUTED_VALUE"""),"Set of earings pck of 12")</f>
        <v>Set of earings pck of 12</v>
      </c>
      <c r="S86" s="52">
        <f>IFERROR(__xludf.DUMMYFUNCTION("""COMPUTED_VALUE"""),2.25)</f>
        <v>2.25</v>
      </c>
      <c r="T86" s="52">
        <f>IFERROR(__xludf.DUMMYFUNCTION("""COMPUTED_VALUE"""),0.315)</f>
        <v>0.315</v>
      </c>
    </row>
    <row r="87" ht="12.5" spans="6:20">
      <c r="F87" s="3"/>
      <c r="G87" s="3"/>
      <c r="H87" s="3"/>
      <c r="I87" s="3"/>
      <c r="J87" s="3"/>
      <c r="Q87" s="52" t="str">
        <f>IFERROR(__xludf.DUMMYFUNCTION("""COMPUTED_VALUE"""),"Fashion / Fashion accessories")</f>
        <v>Fashion / Fashion accessories</v>
      </c>
      <c r="R87" s="52" t="str">
        <f>IFERROR(__xludf.DUMMYFUNCTION("""COMPUTED_VALUE"""),"Couple necklace pck of 2")</f>
        <v>Couple necklace pck of 2</v>
      </c>
      <c r="S87" s="52">
        <f>IFERROR(__xludf.DUMMYFUNCTION("""COMPUTED_VALUE"""),2.8)</f>
        <v>2.8</v>
      </c>
      <c r="T87" s="52">
        <f>IFERROR(__xludf.DUMMYFUNCTION("""COMPUTED_VALUE"""),0.392)</f>
        <v>0.392</v>
      </c>
    </row>
    <row r="88" ht="12.5" spans="6:20">
      <c r="F88" s="3"/>
      <c r="G88" s="3"/>
      <c r="H88" s="3"/>
      <c r="I88" s="3"/>
      <c r="J88" s="3"/>
      <c r="Q88" s="52" t="str">
        <f>IFERROR(__xludf.DUMMYFUNCTION("""COMPUTED_VALUE"""),"Fashion / Fashion accessories")</f>
        <v>Fashion / Fashion accessories</v>
      </c>
      <c r="R88" s="52" t="str">
        <f>IFERROR(__xludf.DUMMYFUNCTION("""COMPUTED_VALUE"""),"Men Casual shoes")</f>
        <v>Men Casual shoes</v>
      </c>
      <c r="S88" s="52">
        <f>IFERROR(__xludf.DUMMYFUNCTION("""COMPUTED_VALUE"""),25.9)</f>
        <v>25.9</v>
      </c>
      <c r="T88" s="52">
        <f>IFERROR(__xludf.DUMMYFUNCTION("""COMPUTED_VALUE"""),3.626)</f>
        <v>3.626</v>
      </c>
    </row>
    <row r="89" ht="12.5" spans="6:20">
      <c r="F89" s="3"/>
      <c r="G89" s="3"/>
      <c r="H89" s="3"/>
      <c r="I89" s="3"/>
      <c r="J89" s="3"/>
      <c r="Q89" s="52" t="str">
        <f>IFERROR(__xludf.DUMMYFUNCTION("""COMPUTED_VALUE"""),"Fashion / Fashion accessories")</f>
        <v>Fashion / Fashion accessories</v>
      </c>
      <c r="R89" s="52" t="str">
        <f>IFERROR(__xludf.DUMMYFUNCTION("""COMPUTED_VALUE"""),"Men Sports shoes")</f>
        <v>Men Sports shoes</v>
      </c>
      <c r="S89" s="52">
        <f>IFERROR(__xludf.DUMMYFUNCTION("""COMPUTED_VALUE"""),18)</f>
        <v>18</v>
      </c>
      <c r="T89" s="52">
        <f>IFERROR(__xludf.DUMMYFUNCTION("""COMPUTED_VALUE"""),2.52)</f>
        <v>2.52</v>
      </c>
    </row>
    <row r="90" ht="12.5" spans="6:20">
      <c r="F90" s="3"/>
      <c r="G90" s="3"/>
      <c r="H90" s="3"/>
      <c r="I90" s="3"/>
      <c r="J90" s="3"/>
      <c r="Q90" s="52" t="str">
        <f>IFERROR(__xludf.DUMMYFUNCTION("""COMPUTED_VALUE"""),"Fashion / Fashion accessories")</f>
        <v>Fashion / Fashion accessories</v>
      </c>
      <c r="R90" s="52" t="str">
        <f>IFERROR(__xludf.DUMMYFUNCTION("""COMPUTED_VALUE"""),"Men Formal shoes")</f>
        <v>Men Formal shoes</v>
      </c>
      <c r="S90" s="52">
        <f>IFERROR(__xludf.DUMMYFUNCTION("""COMPUTED_VALUE"""),14.9)</f>
        <v>14.9</v>
      </c>
      <c r="T90" s="52">
        <f>IFERROR(__xludf.DUMMYFUNCTION("""COMPUTED_VALUE"""),2.086)</f>
        <v>2.086</v>
      </c>
    </row>
    <row r="91" ht="12.5" spans="6:20">
      <c r="F91" s="3"/>
      <c r="G91" s="3"/>
      <c r="H91" s="3"/>
      <c r="I91" s="3"/>
      <c r="J91" s="3"/>
      <c r="Q91" s="52" t="str">
        <f>IFERROR(__xludf.DUMMYFUNCTION("""COMPUTED_VALUE"""),"Fashion / Fashion accessories")</f>
        <v>Fashion / Fashion accessories</v>
      </c>
      <c r="R91" s="52" t="str">
        <f>IFERROR(__xludf.DUMMYFUNCTION("""COMPUTED_VALUE"""),"belt")</f>
        <v>belt</v>
      </c>
      <c r="S91" s="52">
        <f>IFERROR(__xludf.DUMMYFUNCTION("""COMPUTED_VALUE"""),4)</f>
        <v>4</v>
      </c>
      <c r="T91" s="52">
        <f>IFERROR(__xludf.DUMMYFUNCTION("""COMPUTED_VALUE"""),0.56)</f>
        <v>0.56</v>
      </c>
    </row>
    <row r="92" ht="12.5" spans="6:20">
      <c r="F92" s="3"/>
      <c r="G92" s="3"/>
      <c r="H92" s="3"/>
      <c r="I92" s="3"/>
      <c r="J92" s="3"/>
      <c r="Q92" s="52" t="str">
        <f>IFERROR(__xludf.DUMMYFUNCTION("""COMPUTED_VALUE"""),"Fashion / Fashion accessories")</f>
        <v>Fashion / Fashion accessories</v>
      </c>
      <c r="R92" s="52" t="str">
        <f>IFERROR(__xludf.DUMMYFUNCTION("""COMPUTED_VALUE"""),"Sunglasses")</f>
        <v>Sunglasses</v>
      </c>
      <c r="S92" s="52">
        <f>IFERROR(__xludf.DUMMYFUNCTION("""COMPUTED_VALUE"""),2)</f>
        <v>2</v>
      </c>
      <c r="T92" s="52">
        <f>IFERROR(__xludf.DUMMYFUNCTION("""COMPUTED_VALUE"""),0.28)</f>
        <v>0.28</v>
      </c>
    </row>
    <row r="93" ht="12.5" spans="6:20">
      <c r="F93" s="3"/>
      <c r="G93" s="3"/>
      <c r="H93" s="3"/>
      <c r="I93" s="3"/>
      <c r="J93" s="3"/>
      <c r="Q93" s="52" t="str">
        <f>IFERROR(__xludf.DUMMYFUNCTION("""COMPUTED_VALUE"""),"Fashion / Fashion accessories")</f>
        <v>Fashion / Fashion accessories</v>
      </c>
      <c r="R93" s="52" t="str">
        <f>IFERROR(__xludf.DUMMYFUNCTION("""COMPUTED_VALUE"""),"watch")</f>
        <v>watch</v>
      </c>
      <c r="S93" s="52">
        <f>IFERROR(__xludf.DUMMYFUNCTION("""COMPUTED_VALUE"""),10)</f>
        <v>10</v>
      </c>
      <c r="T93" s="52">
        <f>IFERROR(__xludf.DUMMYFUNCTION("""COMPUTED_VALUE"""),1.4)</f>
        <v>1.4</v>
      </c>
    </row>
    <row r="94" ht="12.5" spans="6:20">
      <c r="F94" s="3"/>
      <c r="G94" s="3"/>
      <c r="H94" s="3"/>
      <c r="I94" s="3"/>
      <c r="J94" s="3"/>
      <c r="Q94" s="52" t="str">
        <f>IFERROR(__xludf.DUMMYFUNCTION("""COMPUTED_VALUE"""),"Fashion / Fashion accessories")</f>
        <v>Fashion / Fashion accessories</v>
      </c>
      <c r="R94" s="52" t="str">
        <f>IFERROR(__xludf.DUMMYFUNCTION("""COMPUTED_VALUE"""),"Bag- laptop bag")</f>
        <v>Bag- laptop bag</v>
      </c>
      <c r="S94" s="52">
        <f>IFERROR(__xludf.DUMMYFUNCTION("""COMPUTED_VALUE"""),9)</f>
        <v>9</v>
      </c>
      <c r="T94" s="52">
        <f>IFERROR(__xludf.DUMMYFUNCTION("""COMPUTED_VALUE"""),1.26)</f>
        <v>1.26</v>
      </c>
    </row>
    <row r="95" ht="12.5" spans="6:20">
      <c r="F95" s="3"/>
      <c r="G95" s="3"/>
      <c r="H95" s="3"/>
      <c r="I95" s="3"/>
      <c r="J95" s="3"/>
      <c r="Q95" s="52" t="str">
        <f>IFERROR(__xludf.DUMMYFUNCTION("""COMPUTED_VALUE"""),"Fashion / Fashion accessories")</f>
        <v>Fashion / Fashion accessories</v>
      </c>
      <c r="R95" s="52" t="str">
        <f>IFERROR(__xludf.DUMMYFUNCTION("""COMPUTED_VALUE"""),"Bag- lady's carring bag")</f>
        <v>Bag- lady's carring bag</v>
      </c>
      <c r="S95" s="52">
        <f>IFERROR(__xludf.DUMMYFUNCTION("""COMPUTED_VALUE"""),21)</f>
        <v>21</v>
      </c>
      <c r="T95" s="52">
        <f>IFERROR(__xludf.DUMMYFUNCTION("""COMPUTED_VALUE"""),2.94)</f>
        <v>2.94</v>
      </c>
    </row>
    <row r="96" ht="12.5" spans="6:20">
      <c r="F96" s="3"/>
      <c r="G96" s="3"/>
      <c r="H96" s="3"/>
      <c r="I96" s="3"/>
      <c r="J96" s="3"/>
      <c r="Q96" s="52" t="str">
        <f>IFERROR(__xludf.DUMMYFUNCTION("""COMPUTED_VALUE"""),"Fashion / Fashion accessories")</f>
        <v>Fashion / Fashion accessories</v>
      </c>
      <c r="R96" s="52" t="str">
        <f>IFERROR(__xludf.DUMMYFUNCTION("""COMPUTED_VALUE"""),"Bag- 4in1")</f>
        <v>Bag- 4in1</v>
      </c>
      <c r="S96" s="52">
        <f>IFERROR(__xludf.DUMMYFUNCTION("""COMPUTED_VALUE"""),19)</f>
        <v>19</v>
      </c>
      <c r="T96" s="52">
        <f>IFERROR(__xludf.DUMMYFUNCTION("""COMPUTED_VALUE"""),2.66)</f>
        <v>2.66</v>
      </c>
    </row>
    <row r="97" ht="12.5" spans="6:20">
      <c r="F97" s="3"/>
      <c r="G97" s="3"/>
      <c r="H97" s="3"/>
      <c r="I97" s="3"/>
      <c r="J97" s="3"/>
      <c r="Q97" s="52" t="str">
        <f>IFERROR(__xludf.DUMMYFUNCTION("""COMPUTED_VALUE"""),"Fashion / Fashion accessories")</f>
        <v>Fashion / Fashion accessories</v>
      </c>
      <c r="R97" s="52" t="str">
        <f>IFERROR(__xludf.DUMMYFUNCTION("""COMPUTED_VALUE"""),"Slippers")</f>
        <v>Slippers</v>
      </c>
      <c r="S97" s="52">
        <f>IFERROR(__xludf.DUMMYFUNCTION("""COMPUTED_VALUE"""),10)</f>
        <v>10</v>
      </c>
      <c r="T97" s="52">
        <f>IFERROR(__xludf.DUMMYFUNCTION("""COMPUTED_VALUE"""),1.4)</f>
        <v>1.4</v>
      </c>
    </row>
    <row r="98" ht="12.5" spans="6:20">
      <c r="F98" s="3"/>
      <c r="G98" s="3"/>
      <c r="H98" s="3"/>
      <c r="I98" s="3"/>
      <c r="J98" s="3"/>
      <c r="Q98" s="52" t="str">
        <f>IFERROR(__xludf.DUMMYFUNCTION("""COMPUTED_VALUE"""),"Mobile accessories / Computing")</f>
        <v>Mobile accessories / Computing</v>
      </c>
      <c r="R98" s="52" t="str">
        <f>IFERROR(__xludf.DUMMYFUNCTION("""COMPUTED_VALUE"""),"20K MAh powerbank")</f>
        <v>20K MAh powerbank</v>
      </c>
      <c r="S98" s="52">
        <f>IFERROR(__xludf.DUMMYFUNCTION("""COMPUTED_VALUE"""),37)</f>
        <v>37</v>
      </c>
      <c r="T98" s="52">
        <f>IFERROR(__xludf.DUMMYFUNCTION("""COMPUTED_VALUE"""),5.18)</f>
        <v>5.18</v>
      </c>
    </row>
    <row r="99" ht="12.5" spans="6:20">
      <c r="F99" s="3"/>
      <c r="G99" s="3"/>
      <c r="H99" s="3"/>
      <c r="I99" s="3"/>
      <c r="J99" s="3"/>
      <c r="Q99" s="52" t="str">
        <f>IFERROR(__xludf.DUMMYFUNCTION("""COMPUTED_VALUE"""),"Mobile accessories / Computing")</f>
        <v>Mobile accessories / Computing</v>
      </c>
      <c r="R99" s="52" t="str">
        <f>IFERROR(__xludf.DUMMYFUNCTION("""COMPUTED_VALUE"""),"10K MAh powerbank")</f>
        <v>10K MAh powerbank</v>
      </c>
      <c r="S99" s="52">
        <f>IFERROR(__xludf.DUMMYFUNCTION("""COMPUTED_VALUE"""),19)</f>
        <v>19</v>
      </c>
      <c r="T99" s="52">
        <f>IFERROR(__xludf.DUMMYFUNCTION("""COMPUTED_VALUE"""),2.66)</f>
        <v>2.66</v>
      </c>
    </row>
    <row r="100" ht="12.5" spans="6:20">
      <c r="F100" s="3"/>
      <c r="G100" s="3"/>
      <c r="H100" s="3"/>
      <c r="I100" s="3"/>
      <c r="J100" s="3"/>
      <c r="Q100" s="52" t="str">
        <f>IFERROR(__xludf.DUMMYFUNCTION("""COMPUTED_VALUE"""),"Mobile accessories / Computing")</f>
        <v>Mobile accessories / Computing</v>
      </c>
      <c r="R100" s="52" t="str">
        <f>IFERROR(__xludf.DUMMYFUNCTION("""COMPUTED_VALUE"""),"USB drive 64G")</f>
        <v>USB drive 64G</v>
      </c>
      <c r="S100" s="52">
        <f>IFERROR(__xludf.DUMMYFUNCTION("""COMPUTED_VALUE"""),16)</f>
        <v>16</v>
      </c>
      <c r="T100" s="52">
        <f>IFERROR(__xludf.DUMMYFUNCTION("""COMPUTED_VALUE"""),2.24)</f>
        <v>2.24</v>
      </c>
    </row>
    <row r="101" ht="12.5" spans="6:20">
      <c r="F101" s="3"/>
      <c r="G101" s="3"/>
      <c r="H101" s="3"/>
      <c r="I101" s="3"/>
      <c r="J101" s="3"/>
      <c r="Q101" s="52" t="str">
        <f>IFERROR(__xludf.DUMMYFUNCTION("""COMPUTED_VALUE"""),"Mobile accessories / Computing")</f>
        <v>Mobile accessories / Computing</v>
      </c>
      <c r="R101" s="52" t="str">
        <f>IFERROR(__xludf.DUMMYFUNCTION("""COMPUTED_VALUE"""),"USB drive 128G")</f>
        <v>USB drive 128G</v>
      </c>
      <c r="S101" s="52">
        <f>IFERROR(__xludf.DUMMYFUNCTION("""COMPUTED_VALUE"""),23)</f>
        <v>23</v>
      </c>
      <c r="T101" s="52">
        <f>IFERROR(__xludf.DUMMYFUNCTION("""COMPUTED_VALUE"""),2.3)</f>
        <v>2.3</v>
      </c>
    </row>
    <row r="102" ht="12.5" spans="6:20">
      <c r="F102" s="3"/>
      <c r="G102" s="3"/>
      <c r="H102" s="3"/>
      <c r="I102" s="3"/>
      <c r="J102" s="3"/>
      <c r="Q102" s="52" t="str">
        <f>IFERROR(__xludf.DUMMYFUNCTION("""COMPUTED_VALUE"""),"Mobile accessories / Computing")</f>
        <v>Mobile accessories / Computing</v>
      </c>
      <c r="R102" s="52" t="str">
        <f>IFERROR(__xludf.DUMMYFUNCTION("""COMPUTED_VALUE"""),"Wireless earphones airpod style")</f>
        <v>Wireless earphones airpod style</v>
      </c>
      <c r="S102" s="52">
        <f>IFERROR(__xludf.DUMMYFUNCTION("""COMPUTED_VALUE"""),15)</f>
        <v>15</v>
      </c>
      <c r="T102" s="52">
        <f>IFERROR(__xludf.DUMMYFUNCTION("""COMPUTED_VALUE"""),2.1)</f>
        <v>2.1</v>
      </c>
    </row>
    <row r="103" ht="12.5" spans="6:20">
      <c r="F103" s="3"/>
      <c r="G103" s="3"/>
      <c r="H103" s="3"/>
      <c r="I103" s="3"/>
      <c r="J103" s="3"/>
      <c r="Q103" s="52" t="str">
        <f>IFERROR(__xludf.DUMMYFUNCTION("""COMPUTED_VALUE"""),"Mobile accessories / Computing")</f>
        <v>Mobile accessories / Computing</v>
      </c>
      <c r="R103" s="52" t="str">
        <f>IFERROR(__xludf.DUMMYFUNCTION("""COMPUTED_VALUE"""),"Wireless earphones F9 style")</f>
        <v>Wireless earphones F9 style</v>
      </c>
      <c r="S103" s="52">
        <f>IFERROR(__xludf.DUMMYFUNCTION("""COMPUTED_VALUE"""),12)</f>
        <v>12</v>
      </c>
      <c r="T103" s="52">
        <f>IFERROR(__xludf.DUMMYFUNCTION("""COMPUTED_VALUE"""),1.68)</f>
        <v>1.68</v>
      </c>
    </row>
    <row r="104" ht="12.5" spans="6:20">
      <c r="F104" s="3"/>
      <c r="G104" s="3"/>
      <c r="H104" s="3"/>
      <c r="I104" s="3"/>
      <c r="J104" s="3"/>
      <c r="Q104" s="52" t="str">
        <f>IFERROR(__xludf.DUMMYFUNCTION("""COMPUTED_VALUE"""),"Mobile accessories / Computing")</f>
        <v>Mobile accessories / Computing</v>
      </c>
      <c r="R104" s="52" t="str">
        <f>IFERROR(__xludf.DUMMYFUNCTION("""COMPUTED_VALUE"""),"Wireless speaker")</f>
        <v>Wireless speaker</v>
      </c>
      <c r="S104" s="52">
        <f>IFERROR(__xludf.DUMMYFUNCTION("""COMPUTED_VALUE"""),23)</f>
        <v>23</v>
      </c>
      <c r="T104" s="52">
        <f>IFERROR(__xludf.DUMMYFUNCTION("""COMPUTED_VALUE"""),3.22)</f>
        <v>3.22</v>
      </c>
    </row>
    <row r="105" ht="12.5" spans="6:20">
      <c r="F105" s="3"/>
      <c r="G105" s="3"/>
      <c r="H105" s="3"/>
      <c r="I105" s="3"/>
      <c r="J105" s="3"/>
      <c r="Q105" s="52" t="str">
        <f>IFERROR(__xludf.DUMMYFUNCTION("""COMPUTED_VALUE"""),"Mobile accessories / Computing")</f>
        <v>Mobile accessories / Computing</v>
      </c>
      <c r="R105" s="52" t="str">
        <f>IFERROR(__xludf.DUMMYFUNCTION("""COMPUTED_VALUE"""),"Smartwatch")</f>
        <v>Smartwatch</v>
      </c>
      <c r="S105" s="52">
        <f>IFERROR(__xludf.DUMMYFUNCTION("""COMPUTED_VALUE"""),8)</f>
        <v>8</v>
      </c>
      <c r="T105" s="52">
        <f>IFERROR(__xludf.DUMMYFUNCTION("""COMPUTED_VALUE"""),1.12)</f>
        <v>1.12</v>
      </c>
    </row>
    <row r="106" ht="12.5" spans="6:20">
      <c r="F106" s="3"/>
      <c r="G106" s="3"/>
      <c r="H106" s="3"/>
      <c r="I106" s="3"/>
      <c r="J106" s="3"/>
      <c r="Q106" s="52" t="str">
        <f>IFERROR(__xludf.DUMMYFUNCTION("""COMPUTED_VALUE"""),"Mobile accessories / Computing")</f>
        <v>Mobile accessories / Computing</v>
      </c>
      <c r="R106" s="52" t="str">
        <f>IFERROR(__xludf.DUMMYFUNCTION("""COMPUTED_VALUE"""),"Feature phone")</f>
        <v>Feature phone</v>
      </c>
      <c r="S106" s="52">
        <f>IFERROR(__xludf.DUMMYFUNCTION("""COMPUTED_VALUE"""),25)</f>
        <v>25</v>
      </c>
      <c r="T106" s="52">
        <f>IFERROR(__xludf.DUMMYFUNCTION("""COMPUTED_VALUE"""),3.5)</f>
        <v>3.5</v>
      </c>
    </row>
    <row r="107" ht="12.5" spans="6:20">
      <c r="F107" s="3"/>
      <c r="G107" s="3"/>
      <c r="H107" s="3"/>
      <c r="I107" s="3"/>
      <c r="J107" s="3"/>
      <c r="Q107" s="52" t="str">
        <f>IFERROR(__xludf.DUMMYFUNCTION("""COMPUTED_VALUE"""),"Mobile accessories / Computing")</f>
        <v>Mobile accessories / Computing</v>
      </c>
      <c r="R107" s="52" t="str">
        <f>IFERROR(__xludf.DUMMYFUNCTION("""COMPUTED_VALUE"""),"Laptop mouse")</f>
        <v>Laptop mouse</v>
      </c>
      <c r="S107" s="52">
        <f>IFERROR(__xludf.DUMMYFUNCTION("""COMPUTED_VALUE"""),8)</f>
        <v>8</v>
      </c>
      <c r="T107" s="52">
        <f>IFERROR(__xludf.DUMMYFUNCTION("""COMPUTED_VALUE"""),1.12)</f>
        <v>1.12</v>
      </c>
    </row>
    <row r="108" ht="12.5" spans="6:20">
      <c r="F108" s="3"/>
      <c r="G108" s="3"/>
      <c r="H108" s="3"/>
      <c r="I108" s="3"/>
      <c r="J108" s="3"/>
      <c r="Q108" s="52" t="str">
        <f>IFERROR(__xludf.DUMMYFUNCTION("""COMPUTED_VALUE"""),"Home / small appliance")</f>
        <v>Home / small appliance</v>
      </c>
      <c r="R108" s="52" t="str">
        <f>IFERROR(__xludf.DUMMYFUNCTION("""COMPUTED_VALUE"""),"Basic toolkit")</f>
        <v>Basic toolkit</v>
      </c>
      <c r="S108" s="52">
        <f>IFERROR(__xludf.DUMMYFUNCTION("""COMPUTED_VALUE"""),22.5)</f>
        <v>22.5</v>
      </c>
      <c r="T108" s="52">
        <f>IFERROR(__xludf.DUMMYFUNCTION("""COMPUTED_VALUE"""),3.15)</f>
        <v>3.15</v>
      </c>
    </row>
    <row r="109" ht="12.5" spans="6:20">
      <c r="F109" s="3"/>
      <c r="G109" s="3"/>
      <c r="H109" s="3"/>
      <c r="I109" s="3"/>
      <c r="J109" s="3"/>
      <c r="Q109" s="52" t="str">
        <f>IFERROR(__xludf.DUMMYFUNCTION("""COMPUTED_VALUE"""),"Home / small appliance")</f>
        <v>Home / small appliance</v>
      </c>
      <c r="R109" s="52" t="str">
        <f>IFERROR(__xludf.DUMMYFUNCTION("""COMPUTED_VALUE"""),"Hand towel")</f>
        <v>Hand towel</v>
      </c>
      <c r="S109" s="52">
        <f>IFERROR(__xludf.DUMMYFUNCTION("""COMPUTED_VALUE"""),3.07)</f>
        <v>3.07</v>
      </c>
      <c r="T109" s="52">
        <f>IFERROR(__xludf.DUMMYFUNCTION("""COMPUTED_VALUE"""),0.4298)</f>
        <v>0.4298</v>
      </c>
    </row>
    <row r="110" ht="12.5" spans="6:20">
      <c r="F110" s="3"/>
      <c r="G110" s="3"/>
      <c r="H110" s="3"/>
      <c r="I110" s="3"/>
      <c r="J110" s="3"/>
      <c r="Q110" s="52" t="str">
        <f>IFERROR(__xludf.DUMMYFUNCTION("""COMPUTED_VALUE"""),"Home / small appliance")</f>
        <v>Home / small appliance</v>
      </c>
      <c r="R110" s="52" t="str">
        <f>IFERROR(__xludf.DUMMYFUNCTION("""COMPUTED_VALUE"""),"Shower/Bath towel")</f>
        <v>Shower/Bath towel</v>
      </c>
      <c r="S110" s="52">
        <f>IFERROR(__xludf.DUMMYFUNCTION("""COMPUTED_VALUE"""),6.3)</f>
        <v>6.3</v>
      </c>
      <c r="T110" s="52">
        <f>IFERROR(__xludf.DUMMYFUNCTION("""COMPUTED_VALUE"""),0.882)</f>
        <v>0.882</v>
      </c>
    </row>
    <row r="111" ht="12.5" spans="6:20">
      <c r="F111" s="3"/>
      <c r="G111" s="3"/>
      <c r="H111" s="3"/>
      <c r="I111" s="3"/>
      <c r="J111" s="3"/>
      <c r="Q111" s="52" t="str">
        <f>IFERROR(__xludf.DUMMYFUNCTION("""COMPUTED_VALUE"""),"Home / small appliance")</f>
        <v>Home / small appliance</v>
      </c>
      <c r="R111" s="52" t="str">
        <f>IFERROR(__xludf.DUMMYFUNCTION("""COMPUTED_VALUE"""),"Fan- Small")</f>
        <v>Fan- Small</v>
      </c>
      <c r="S111" s="52">
        <f>IFERROR(__xludf.DUMMYFUNCTION("""COMPUTED_VALUE"""),35)</f>
        <v>35</v>
      </c>
      <c r="T111" s="52">
        <f>IFERROR(__xludf.DUMMYFUNCTION("""COMPUTED_VALUE"""),4.9)</f>
        <v>4.9</v>
      </c>
    </row>
    <row r="112" ht="12.5" spans="6:20">
      <c r="F112" s="3"/>
      <c r="G112" s="3"/>
      <c r="H112" s="3"/>
      <c r="I112" s="3"/>
      <c r="J112" s="3"/>
      <c r="Q112" s="52" t="str">
        <f>IFERROR(__xludf.DUMMYFUNCTION("""COMPUTED_VALUE"""),"Home / small appliance")</f>
        <v>Home / small appliance</v>
      </c>
      <c r="R112" s="52" t="str">
        <f>IFERROR(__xludf.DUMMYFUNCTION("""COMPUTED_VALUE"""),"Power strip")</f>
        <v>Power strip</v>
      </c>
      <c r="S112" s="52">
        <f>IFERROR(__xludf.DUMMYFUNCTION("""COMPUTED_VALUE"""),32)</f>
        <v>32</v>
      </c>
      <c r="T112" s="52">
        <f>IFERROR(__xludf.DUMMYFUNCTION("""COMPUTED_VALUE"""),4.48)</f>
        <v>4.48</v>
      </c>
    </row>
    <row r="113" ht="12.5" spans="6:20">
      <c r="F113" s="3"/>
      <c r="G113" s="3"/>
      <c r="H113" s="3"/>
      <c r="I113" s="3"/>
      <c r="J113" s="3"/>
      <c r="Q113" s="52" t="str">
        <f>IFERROR(__xludf.DUMMYFUNCTION("""COMPUTED_VALUE"""),"Beauty")</f>
        <v>Beauty</v>
      </c>
      <c r="R113" s="52" t="str">
        <f>IFERROR(__xludf.DUMMYFUNCTION("""COMPUTED_VALUE"""),"Hair Dryer")</f>
        <v>Hair Dryer</v>
      </c>
      <c r="S113" s="52">
        <f>IFERROR(__xludf.DUMMYFUNCTION("""COMPUTED_VALUE"""),17.5)</f>
        <v>17.5</v>
      </c>
      <c r="T113" s="52">
        <f>IFERROR(__xludf.DUMMYFUNCTION("""COMPUTED_VALUE"""),2.45)</f>
        <v>2.45</v>
      </c>
    </row>
    <row r="114" ht="12.5" spans="6:20">
      <c r="F114" s="3"/>
      <c r="G114" s="3"/>
      <c r="H114" s="3"/>
      <c r="I114" s="3"/>
      <c r="J114" s="3"/>
      <c r="Q114" s="52" t="str">
        <f>IFERROR(__xludf.DUMMYFUNCTION("""COMPUTED_VALUE"""),"Beauty")</f>
        <v>Beauty</v>
      </c>
      <c r="R114" s="52" t="str">
        <f>IFERROR(__xludf.DUMMYFUNCTION("""COMPUTED_VALUE"""),"Hair Clipper")</f>
        <v>Hair Clipper</v>
      </c>
      <c r="S114" s="52">
        <f>IFERROR(__xludf.DUMMYFUNCTION("""COMPUTED_VALUE"""),15.5)</f>
        <v>15.5</v>
      </c>
      <c r="T114" s="52">
        <f>IFERROR(__xludf.DUMMYFUNCTION("""COMPUTED_VALUE"""),2.17)</f>
        <v>2.17</v>
      </c>
    </row>
    <row r="115" ht="12.5" spans="6:20">
      <c r="F115" s="3"/>
      <c r="G115" s="3"/>
      <c r="H115" s="3"/>
      <c r="I115" s="3"/>
      <c r="J115" s="3"/>
      <c r="Q115" s="52" t="str">
        <f>IFERROR(__xludf.DUMMYFUNCTION("""COMPUTED_VALUE"""),"Home / small appliance")</f>
        <v>Home / small appliance</v>
      </c>
      <c r="R115" s="52" t="str">
        <f>IFERROR(__xludf.DUMMYFUNCTION("""COMPUTED_VALUE"""),"Kettle")</f>
        <v>Kettle</v>
      </c>
      <c r="S115" s="52">
        <f>IFERROR(__xludf.DUMMYFUNCTION("""COMPUTED_VALUE"""),18)</f>
        <v>18</v>
      </c>
      <c r="T115" s="52">
        <f>IFERROR(__xludf.DUMMYFUNCTION("""COMPUTED_VALUE"""),2.52)</f>
        <v>2.52</v>
      </c>
    </row>
    <row r="116" ht="12.5" spans="6:20">
      <c r="F116" s="3"/>
      <c r="G116" s="3"/>
      <c r="H116" s="3"/>
      <c r="I116" s="3"/>
      <c r="J116" s="3"/>
      <c r="Q116" s="52" t="str">
        <f>IFERROR(__xludf.DUMMYFUNCTION("""COMPUTED_VALUE"""),"Home / small appliance")</f>
        <v>Home / small appliance</v>
      </c>
      <c r="R116" s="52" t="str">
        <f>IFERROR(__xludf.DUMMYFUNCTION("""COMPUTED_VALUE"""),"Iron ")</f>
        <v>Iron </v>
      </c>
      <c r="S116" s="52">
        <f>IFERROR(__xludf.DUMMYFUNCTION("""COMPUTED_VALUE"""),27)</f>
        <v>27</v>
      </c>
      <c r="T116" s="52">
        <f>IFERROR(__xludf.DUMMYFUNCTION("""COMPUTED_VALUE"""),3.78)</f>
        <v>3.78</v>
      </c>
    </row>
    <row r="117" ht="12.5" spans="6:20">
      <c r="F117" s="3"/>
      <c r="G117" s="3"/>
      <c r="H117" s="3"/>
      <c r="I117" s="3"/>
      <c r="J117" s="3"/>
      <c r="Q117" s="52" t="str">
        <f>IFERROR(__xludf.DUMMYFUNCTION("""COMPUTED_VALUE"""),"Home / small appliance")</f>
        <v>Home / small appliance</v>
      </c>
      <c r="R117" s="52" t="str">
        <f>IFERROR(__xludf.DUMMYFUNCTION("""COMPUTED_VALUE"""),"Spatulas ( a set of five)")</f>
        <v>Spatulas ( a set of five)</v>
      </c>
      <c r="S117" s="52">
        <f>IFERROR(__xludf.DUMMYFUNCTION("""COMPUTED_VALUE"""),10)</f>
        <v>10</v>
      </c>
      <c r="T117" s="52">
        <f>IFERROR(__xludf.DUMMYFUNCTION("""COMPUTED_VALUE"""),1.4)</f>
        <v>1.4</v>
      </c>
    </row>
    <row r="118" ht="12.5" spans="6:20">
      <c r="F118" s="3"/>
      <c r="G118" s="3"/>
      <c r="H118" s="3"/>
      <c r="I118" s="3"/>
      <c r="J118" s="3"/>
      <c r="Q118" s="52" t="str">
        <f>IFERROR(__xludf.DUMMYFUNCTION("""COMPUTED_VALUE"""),"Home / small appliance")</f>
        <v>Home / small appliance</v>
      </c>
      <c r="R118" s="52" t="str">
        <f>IFERROR(__xludf.DUMMYFUNCTION("""COMPUTED_VALUE"""),"Pan (28cm)")</f>
        <v>Pan (28cm)</v>
      </c>
      <c r="S118" s="52">
        <f>IFERROR(__xludf.DUMMYFUNCTION("""COMPUTED_VALUE"""),18.2)</f>
        <v>18.2</v>
      </c>
      <c r="T118" s="52">
        <f>IFERROR(__xludf.DUMMYFUNCTION("""COMPUTED_VALUE"""),2.548)</f>
        <v>2.548</v>
      </c>
    </row>
    <row r="119" ht="12.5" spans="6:10">
      <c r="F119" s="3"/>
      <c r="G119" s="3"/>
      <c r="H119" s="3"/>
      <c r="I119" s="3"/>
      <c r="J119" s="3"/>
    </row>
    <row r="120" ht="12.5" spans="6:10">
      <c r="F120" s="3"/>
      <c r="G120" s="3"/>
      <c r="H120" s="3"/>
      <c r="I120" s="3"/>
      <c r="J120" s="3"/>
    </row>
    <row r="121" ht="12.5" spans="6:10">
      <c r="F121" s="3"/>
      <c r="G121" s="3"/>
      <c r="H121" s="3"/>
      <c r="I121" s="3"/>
      <c r="J121" s="3"/>
    </row>
    <row r="122" ht="12.5" spans="6:10">
      <c r="F122" s="3"/>
      <c r="G122" s="3"/>
      <c r="H122" s="3"/>
      <c r="I122" s="3"/>
      <c r="J122" s="3"/>
    </row>
    <row r="123" ht="12.5" spans="6:10">
      <c r="F123" s="3"/>
      <c r="G123" s="3"/>
      <c r="H123" s="3"/>
      <c r="I123" s="3"/>
      <c r="J123" s="3"/>
    </row>
    <row r="124" ht="12.5" spans="6:10">
      <c r="F124" s="3"/>
      <c r="G124" s="3"/>
      <c r="H124" s="3"/>
      <c r="I124" s="3"/>
      <c r="J124" s="3"/>
    </row>
    <row r="125" ht="12.5" spans="6:10">
      <c r="F125" s="3"/>
      <c r="G125" s="3"/>
      <c r="H125" s="3"/>
      <c r="I125" s="3"/>
      <c r="J125" s="3"/>
    </row>
    <row r="126" ht="12.5" spans="6:10">
      <c r="F126" s="3"/>
      <c r="G126" s="3"/>
      <c r="H126" s="3"/>
      <c r="I126" s="3"/>
      <c r="J126" s="3"/>
    </row>
    <row r="127" ht="12.5" spans="6:10">
      <c r="F127" s="3"/>
      <c r="G127" s="3"/>
      <c r="H127" s="3"/>
      <c r="I127" s="3"/>
      <c r="J127" s="3"/>
    </row>
    <row r="128" ht="12.5" spans="6:10">
      <c r="F128" s="3"/>
      <c r="G128" s="3"/>
      <c r="H128" s="3"/>
      <c r="I128" s="3"/>
      <c r="J128" s="3"/>
    </row>
    <row r="129" ht="12.5" spans="6:10">
      <c r="F129" s="3"/>
      <c r="G129" s="3"/>
      <c r="H129" s="3"/>
      <c r="I129" s="3"/>
      <c r="J129" s="3"/>
    </row>
    <row r="130" ht="12.5" spans="6:10">
      <c r="F130" s="3"/>
      <c r="G130" s="3"/>
      <c r="H130" s="3"/>
      <c r="I130" s="3"/>
      <c r="J130" s="3"/>
    </row>
    <row r="131" ht="12.5" spans="6:10">
      <c r="F131" s="3"/>
      <c r="G131" s="3"/>
      <c r="H131" s="3"/>
      <c r="I131" s="3"/>
      <c r="J131" s="3"/>
    </row>
    <row r="132" ht="12.5" spans="6:10">
      <c r="F132" s="3"/>
      <c r="G132" s="3"/>
      <c r="H132" s="3"/>
      <c r="I132" s="3"/>
      <c r="J132" s="3"/>
    </row>
    <row r="133" ht="12.5" spans="6:10">
      <c r="F133" s="3"/>
      <c r="G133" s="3"/>
      <c r="H133" s="3"/>
      <c r="I133" s="3"/>
      <c r="J133" s="3"/>
    </row>
    <row r="134" ht="12.5" spans="6:10">
      <c r="F134" s="3"/>
      <c r="G134" s="3"/>
      <c r="H134" s="3"/>
      <c r="I134" s="3"/>
      <c r="J134" s="3"/>
    </row>
    <row r="135" ht="12.5" spans="6:10">
      <c r="F135" s="3"/>
      <c r="G135" s="3"/>
      <c r="H135" s="3"/>
      <c r="I135" s="3"/>
      <c r="J135" s="3"/>
    </row>
    <row r="136" ht="12.5" spans="6:10">
      <c r="F136" s="3"/>
      <c r="G136" s="3"/>
      <c r="H136" s="3"/>
      <c r="I136" s="3"/>
      <c r="J136" s="3"/>
    </row>
    <row r="137" ht="12.5" spans="6:10">
      <c r="F137" s="3"/>
      <c r="G137" s="3"/>
      <c r="H137" s="3"/>
      <c r="I137" s="3"/>
      <c r="J137" s="3"/>
    </row>
    <row r="138" ht="12.5" spans="6:10">
      <c r="F138" s="3"/>
      <c r="G138" s="3"/>
      <c r="H138" s="3"/>
      <c r="I138" s="3"/>
      <c r="J138" s="3"/>
    </row>
    <row r="139" ht="12.5" spans="6:10">
      <c r="F139" s="3"/>
      <c r="G139" s="3"/>
      <c r="H139" s="3"/>
      <c r="I139" s="3"/>
      <c r="J139" s="3"/>
    </row>
    <row r="140" ht="12.5" spans="6:10">
      <c r="F140" s="3"/>
      <c r="G140" s="3"/>
      <c r="H140" s="3"/>
      <c r="I140" s="3"/>
      <c r="J140" s="3"/>
    </row>
    <row r="141" ht="12.5" spans="6:10">
      <c r="F141" s="3"/>
      <c r="G141" s="3"/>
      <c r="H141" s="3"/>
      <c r="I141" s="3"/>
      <c r="J141" s="3"/>
    </row>
    <row r="142" ht="12.5" spans="6:10">
      <c r="F142" s="3"/>
      <c r="G142" s="3"/>
      <c r="H142" s="3"/>
      <c r="I142" s="3"/>
      <c r="J142" s="3"/>
    </row>
    <row r="143" ht="12.5" spans="6:10">
      <c r="F143" s="3"/>
      <c r="G143" s="3"/>
      <c r="H143" s="3"/>
      <c r="I143" s="3"/>
      <c r="J143" s="3"/>
    </row>
    <row r="144" ht="12.5" spans="6:10">
      <c r="F144" s="3"/>
      <c r="G144" s="3"/>
      <c r="H144" s="3"/>
      <c r="I144" s="3"/>
      <c r="J144" s="3"/>
    </row>
    <row r="145" ht="12.5" spans="6:10">
      <c r="F145" s="3"/>
      <c r="G145" s="3"/>
      <c r="H145" s="3"/>
      <c r="I145" s="3"/>
      <c r="J145" s="3"/>
    </row>
    <row r="146" ht="12.5" spans="6:10">
      <c r="F146" s="3"/>
      <c r="G146" s="3"/>
      <c r="H146" s="3"/>
      <c r="I146" s="3"/>
      <c r="J146" s="3"/>
    </row>
    <row r="147" ht="12.5" spans="6:10">
      <c r="F147" s="3"/>
      <c r="G147" s="3"/>
      <c r="H147" s="3"/>
      <c r="I147" s="3"/>
      <c r="J147" s="3"/>
    </row>
    <row r="148" ht="12.5" spans="6:10">
      <c r="F148" s="3"/>
      <c r="G148" s="3"/>
      <c r="H148" s="3"/>
      <c r="I148" s="3"/>
      <c r="J148" s="3"/>
    </row>
    <row r="149" ht="12.5" spans="6:10">
      <c r="F149" s="3"/>
      <c r="G149" s="3"/>
      <c r="H149" s="3"/>
      <c r="I149" s="3"/>
      <c r="J149" s="3"/>
    </row>
    <row r="150" ht="12.5" spans="6:10">
      <c r="F150" s="3"/>
      <c r="G150" s="3"/>
      <c r="H150" s="3"/>
      <c r="I150" s="3"/>
      <c r="J150" s="3"/>
    </row>
    <row r="151" ht="12.5" spans="6:10">
      <c r="F151" s="3"/>
      <c r="G151" s="3"/>
      <c r="H151" s="3"/>
      <c r="I151" s="3"/>
      <c r="J151" s="3"/>
    </row>
    <row r="152" ht="12.5" spans="6:10">
      <c r="F152" s="3"/>
      <c r="G152" s="3"/>
      <c r="H152" s="3"/>
      <c r="I152" s="3"/>
      <c r="J152" s="3"/>
    </row>
    <row r="153" ht="12.5" spans="6:10">
      <c r="F153" s="3"/>
      <c r="G153" s="3"/>
      <c r="H153" s="3"/>
      <c r="I153" s="3"/>
      <c r="J153" s="3"/>
    </row>
    <row r="154" ht="12.5" spans="6:10">
      <c r="F154" s="3"/>
      <c r="G154" s="3"/>
      <c r="H154" s="3"/>
      <c r="I154" s="3"/>
      <c r="J154" s="3"/>
    </row>
    <row r="155" ht="12.5" spans="6:10">
      <c r="F155" s="3"/>
      <c r="G155" s="3"/>
      <c r="H155" s="3"/>
      <c r="I155" s="3"/>
      <c r="J155" s="3"/>
    </row>
    <row r="156" ht="12.5" spans="6:10">
      <c r="F156" s="3"/>
      <c r="G156" s="3"/>
      <c r="H156" s="3"/>
      <c r="I156" s="3"/>
      <c r="J156" s="3"/>
    </row>
    <row r="157" ht="12.5" spans="6:10">
      <c r="F157" s="3"/>
      <c r="G157" s="3"/>
      <c r="H157" s="3"/>
      <c r="I157" s="3"/>
      <c r="J157" s="3"/>
    </row>
    <row r="158" ht="12.5" spans="6:10">
      <c r="F158" s="3"/>
      <c r="G158" s="3"/>
      <c r="H158" s="3"/>
      <c r="I158" s="3"/>
      <c r="J158" s="3"/>
    </row>
    <row r="159" ht="12.5" spans="6:10">
      <c r="F159" s="3"/>
      <c r="G159" s="3"/>
      <c r="H159" s="3"/>
      <c r="I159" s="3"/>
      <c r="J159" s="3"/>
    </row>
    <row r="160" ht="12.5" spans="6:10">
      <c r="F160" s="3"/>
      <c r="G160" s="3"/>
      <c r="H160" s="3"/>
      <c r="I160" s="3"/>
      <c r="J160" s="3"/>
    </row>
    <row r="161" ht="12.5" spans="6:10">
      <c r="F161" s="3"/>
      <c r="G161" s="3"/>
      <c r="H161" s="3"/>
      <c r="I161" s="3"/>
      <c r="J161" s="3"/>
    </row>
    <row r="162" ht="12.5" spans="6:10">
      <c r="F162" s="3"/>
      <c r="G162" s="3"/>
      <c r="H162" s="3"/>
      <c r="I162" s="3"/>
      <c r="J162" s="3"/>
    </row>
    <row r="163" ht="12.5" spans="6:10">
      <c r="F163" s="3"/>
      <c r="G163" s="3"/>
      <c r="H163" s="3"/>
      <c r="I163" s="3"/>
      <c r="J163" s="3"/>
    </row>
    <row r="164" ht="12.5" spans="6:10">
      <c r="F164" s="3"/>
      <c r="G164" s="3"/>
      <c r="H164" s="3"/>
      <c r="I164" s="3"/>
      <c r="J164" s="3"/>
    </row>
    <row r="165" ht="12.5" spans="6:10">
      <c r="F165" s="3"/>
      <c r="G165" s="3"/>
      <c r="H165" s="3"/>
      <c r="I165" s="3"/>
      <c r="J165" s="3"/>
    </row>
    <row r="166" ht="12.5" spans="6:10">
      <c r="F166" s="3"/>
      <c r="G166" s="3"/>
      <c r="H166" s="3"/>
      <c r="I166" s="3"/>
      <c r="J166" s="3"/>
    </row>
    <row r="167" ht="12.5" spans="6:10">
      <c r="F167" s="3"/>
      <c r="G167" s="3"/>
      <c r="H167" s="3"/>
      <c r="I167" s="3"/>
      <c r="J167" s="3"/>
    </row>
    <row r="168" ht="12.5" spans="6:10">
      <c r="F168" s="3"/>
      <c r="G168" s="3"/>
      <c r="H168" s="3"/>
      <c r="I168" s="3"/>
      <c r="J168" s="3"/>
    </row>
    <row r="169" ht="12.5" spans="6:10">
      <c r="F169" s="3"/>
      <c r="G169" s="3"/>
      <c r="H169" s="3"/>
      <c r="I169" s="3"/>
      <c r="J169" s="3"/>
    </row>
    <row r="170" ht="12.5" spans="6:10">
      <c r="F170" s="3"/>
      <c r="G170" s="3"/>
      <c r="H170" s="3"/>
      <c r="I170" s="3"/>
      <c r="J170" s="3"/>
    </row>
    <row r="171" ht="12.5" spans="6:10">
      <c r="F171" s="3"/>
      <c r="G171" s="3"/>
      <c r="H171" s="3"/>
      <c r="I171" s="3"/>
      <c r="J171" s="3"/>
    </row>
    <row r="172" ht="12.5" spans="6:10">
      <c r="F172" s="3"/>
      <c r="G172" s="3"/>
      <c r="H172" s="3"/>
      <c r="I172" s="3"/>
      <c r="J172" s="3"/>
    </row>
    <row r="173" ht="12.5" spans="6:10">
      <c r="F173" s="3"/>
      <c r="G173" s="3"/>
      <c r="H173" s="3"/>
      <c r="I173" s="3"/>
      <c r="J173" s="3"/>
    </row>
    <row r="174" ht="12.5" spans="6:10">
      <c r="F174" s="3"/>
      <c r="G174" s="3"/>
      <c r="H174" s="3"/>
      <c r="I174" s="3"/>
      <c r="J174" s="3"/>
    </row>
    <row r="175" ht="12.5" spans="6:10">
      <c r="F175" s="3"/>
      <c r="G175" s="3"/>
      <c r="H175" s="3"/>
      <c r="I175" s="3"/>
      <c r="J175" s="3"/>
    </row>
    <row r="176" ht="12.5" spans="6:10">
      <c r="F176" s="3"/>
      <c r="G176" s="3"/>
      <c r="H176" s="3"/>
      <c r="I176" s="3"/>
      <c r="J176" s="3"/>
    </row>
    <row r="177" ht="12.5" spans="6:10">
      <c r="F177" s="3"/>
      <c r="G177" s="3"/>
      <c r="H177" s="3"/>
      <c r="I177" s="3"/>
      <c r="J177" s="3"/>
    </row>
    <row r="178" ht="12.5" spans="6:10">
      <c r="F178" s="3"/>
      <c r="G178" s="3"/>
      <c r="H178" s="3"/>
      <c r="I178" s="3"/>
      <c r="J178" s="3"/>
    </row>
    <row r="179" ht="12.5" spans="6:10">
      <c r="F179" s="3"/>
      <c r="G179" s="3"/>
      <c r="H179" s="3"/>
      <c r="I179" s="3"/>
      <c r="J179" s="3"/>
    </row>
    <row r="180" ht="12.5" spans="6:10">
      <c r="F180" s="3"/>
      <c r="G180" s="3"/>
      <c r="H180" s="3"/>
      <c r="I180" s="3"/>
      <c r="J180" s="3"/>
    </row>
    <row r="181" ht="12.5" spans="6:10">
      <c r="F181" s="3"/>
      <c r="G181" s="3"/>
      <c r="H181" s="3"/>
      <c r="I181" s="3"/>
      <c r="J181" s="3"/>
    </row>
    <row r="182" ht="12.5" spans="6:10">
      <c r="F182" s="3"/>
      <c r="G182" s="3"/>
      <c r="H182" s="3"/>
      <c r="I182" s="3"/>
      <c r="J182" s="3"/>
    </row>
    <row r="183" ht="12.5" spans="6:10">
      <c r="F183" s="3"/>
      <c r="G183" s="3"/>
      <c r="H183" s="3"/>
      <c r="I183" s="3"/>
      <c r="J183" s="3"/>
    </row>
    <row r="184" ht="12.5" spans="6:10">
      <c r="F184" s="3"/>
      <c r="G184" s="3"/>
      <c r="H184" s="3"/>
      <c r="I184" s="3"/>
      <c r="J184" s="3"/>
    </row>
    <row r="185" ht="12.5" spans="6:10">
      <c r="F185" s="3"/>
      <c r="G185" s="3"/>
      <c r="H185" s="3"/>
      <c r="I185" s="3"/>
      <c r="J185" s="3"/>
    </row>
    <row r="186" ht="12.5" spans="6:10">
      <c r="F186" s="3"/>
      <c r="G186" s="3"/>
      <c r="H186" s="3"/>
      <c r="I186" s="3"/>
      <c r="J186" s="3"/>
    </row>
    <row r="187" ht="12.5" spans="6:10">
      <c r="F187" s="3"/>
      <c r="G187" s="3"/>
      <c r="H187" s="3"/>
      <c r="I187" s="3"/>
      <c r="J187" s="3"/>
    </row>
    <row r="188" ht="12.5" spans="6:10">
      <c r="F188" s="3"/>
      <c r="G188" s="3"/>
      <c r="H188" s="3"/>
      <c r="I188" s="3"/>
      <c r="J188" s="3"/>
    </row>
    <row r="189" ht="12.5" spans="6:10">
      <c r="F189" s="3"/>
      <c r="G189" s="3"/>
      <c r="H189" s="3"/>
      <c r="I189" s="3"/>
      <c r="J189" s="3"/>
    </row>
    <row r="190" ht="12.5" spans="6:10">
      <c r="F190" s="3"/>
      <c r="G190" s="3"/>
      <c r="H190" s="3"/>
      <c r="I190" s="3"/>
      <c r="J190" s="3"/>
    </row>
    <row r="191" ht="12.5" spans="6:10">
      <c r="F191" s="3"/>
      <c r="G191" s="3"/>
      <c r="H191" s="3"/>
      <c r="I191" s="3"/>
      <c r="J191" s="3"/>
    </row>
    <row r="192" ht="12.5" spans="6:10">
      <c r="F192" s="3"/>
      <c r="G192" s="3"/>
      <c r="H192" s="3"/>
      <c r="I192" s="3"/>
      <c r="J192" s="3"/>
    </row>
    <row r="193" ht="12.5" spans="6:10">
      <c r="F193" s="3"/>
      <c r="G193" s="3"/>
      <c r="H193" s="3"/>
      <c r="I193" s="3"/>
      <c r="J193" s="3"/>
    </row>
    <row r="194" ht="12.5" spans="6:10">
      <c r="F194" s="3"/>
      <c r="G194" s="3"/>
      <c r="H194" s="3"/>
      <c r="I194" s="3"/>
      <c r="J194" s="3"/>
    </row>
    <row r="195" ht="12.5" spans="6:10">
      <c r="F195" s="3"/>
      <c r="G195" s="3"/>
      <c r="H195" s="3"/>
      <c r="I195" s="3"/>
      <c r="J195" s="3"/>
    </row>
    <row r="196" ht="12.5" spans="6:10">
      <c r="F196" s="3"/>
      <c r="G196" s="3"/>
      <c r="H196" s="3"/>
      <c r="I196" s="3"/>
      <c r="J196" s="3"/>
    </row>
    <row r="197" ht="12.5" spans="6:10">
      <c r="F197" s="3"/>
      <c r="G197" s="3"/>
      <c r="H197" s="3"/>
      <c r="I197" s="3"/>
      <c r="J197" s="3"/>
    </row>
    <row r="198" ht="12.5" spans="6:10">
      <c r="F198" s="3"/>
      <c r="G198" s="3"/>
      <c r="H198" s="3"/>
      <c r="I198" s="3"/>
      <c r="J198" s="3"/>
    </row>
    <row r="199" ht="12.5" spans="6:10">
      <c r="F199" s="3"/>
      <c r="G199" s="3"/>
      <c r="H199" s="3"/>
      <c r="I199" s="3"/>
      <c r="J199" s="3"/>
    </row>
    <row r="200" ht="12.5" spans="6:10">
      <c r="F200" s="3"/>
      <c r="G200" s="3"/>
      <c r="H200" s="3"/>
      <c r="I200" s="3"/>
      <c r="J200" s="3"/>
    </row>
    <row r="201" ht="12.5" spans="6:10">
      <c r="F201" s="3"/>
      <c r="G201" s="3"/>
      <c r="H201" s="3"/>
      <c r="I201" s="3"/>
      <c r="J201" s="3"/>
    </row>
    <row r="202" ht="12.5" spans="6:10">
      <c r="F202" s="3"/>
      <c r="G202" s="3"/>
      <c r="H202" s="3"/>
      <c r="I202" s="3"/>
      <c r="J202" s="3"/>
    </row>
    <row r="203" ht="12.5" spans="6:10">
      <c r="F203" s="3"/>
      <c r="G203" s="3"/>
      <c r="H203" s="3"/>
      <c r="I203" s="3"/>
      <c r="J203" s="3"/>
    </row>
    <row r="204" ht="12.5" spans="6:10">
      <c r="F204" s="3"/>
      <c r="G204" s="3"/>
      <c r="H204" s="3"/>
      <c r="I204" s="3"/>
      <c r="J204" s="3"/>
    </row>
    <row r="205" ht="12.5" spans="6:10">
      <c r="F205" s="3"/>
      <c r="G205" s="3"/>
      <c r="H205" s="3"/>
      <c r="I205" s="3"/>
      <c r="J205" s="3"/>
    </row>
    <row r="206" ht="12.5" spans="6:10">
      <c r="F206" s="3"/>
      <c r="G206" s="3"/>
      <c r="H206" s="3"/>
      <c r="I206" s="3"/>
      <c r="J206" s="3"/>
    </row>
    <row r="207" ht="12.5" spans="6:10">
      <c r="F207" s="3"/>
      <c r="G207" s="3"/>
      <c r="H207" s="3"/>
      <c r="I207" s="3"/>
      <c r="J207" s="3"/>
    </row>
    <row r="208" ht="12.5" spans="6:10">
      <c r="F208" s="3"/>
      <c r="G208" s="3"/>
      <c r="H208" s="3"/>
      <c r="I208" s="3"/>
      <c r="J208" s="3"/>
    </row>
    <row r="209" ht="12.5" spans="6:10">
      <c r="F209" s="3"/>
      <c r="G209" s="3"/>
      <c r="H209" s="3"/>
      <c r="I209" s="3"/>
      <c r="J209" s="3"/>
    </row>
    <row r="210" ht="12.5" spans="6:10">
      <c r="F210" s="3"/>
      <c r="G210" s="3"/>
      <c r="H210" s="3"/>
      <c r="I210" s="3"/>
      <c r="J210" s="3"/>
    </row>
    <row r="211" ht="12.5" spans="6:10">
      <c r="F211" s="3"/>
      <c r="G211" s="3"/>
      <c r="H211" s="3"/>
      <c r="I211" s="3"/>
      <c r="J211" s="3"/>
    </row>
    <row r="212" ht="12.5" spans="6:10">
      <c r="F212" s="3"/>
      <c r="G212" s="3"/>
      <c r="H212" s="3"/>
      <c r="I212" s="3"/>
      <c r="J212" s="3"/>
    </row>
    <row r="213" ht="12.5" spans="6:10">
      <c r="F213" s="3"/>
      <c r="G213" s="3"/>
      <c r="H213" s="3"/>
      <c r="I213" s="3"/>
      <c r="J213" s="3"/>
    </row>
    <row r="214" ht="12.5" spans="6:10">
      <c r="F214" s="3"/>
      <c r="G214" s="3"/>
      <c r="H214" s="3"/>
      <c r="I214" s="3"/>
      <c r="J214" s="3"/>
    </row>
    <row r="215" ht="12.5" spans="6:10">
      <c r="F215" s="3"/>
      <c r="G215" s="3"/>
      <c r="H215" s="3"/>
      <c r="I215" s="3"/>
      <c r="J215" s="3"/>
    </row>
    <row r="216" ht="12.5" spans="6:10">
      <c r="F216" s="3"/>
      <c r="G216" s="3"/>
      <c r="H216" s="3"/>
      <c r="I216" s="3"/>
      <c r="J216" s="3"/>
    </row>
    <row r="217" ht="12.5" spans="6:10">
      <c r="F217" s="3"/>
      <c r="G217" s="3"/>
      <c r="H217" s="3"/>
      <c r="I217" s="3"/>
      <c r="J217" s="3"/>
    </row>
    <row r="218" ht="12.5" spans="6:10">
      <c r="F218" s="3"/>
      <c r="G218" s="3"/>
      <c r="H218" s="3"/>
      <c r="I218" s="3"/>
      <c r="J218" s="3"/>
    </row>
    <row r="219" ht="12.5" spans="6:10">
      <c r="F219" s="3"/>
      <c r="G219" s="3"/>
      <c r="H219" s="3"/>
      <c r="I219" s="3"/>
      <c r="J219" s="3"/>
    </row>
    <row r="220" ht="12.5" spans="6:10">
      <c r="F220" s="3"/>
      <c r="G220" s="3"/>
      <c r="H220" s="3"/>
      <c r="I220" s="3"/>
      <c r="J220" s="3"/>
    </row>
    <row r="221" ht="12.5" spans="6:10">
      <c r="F221" s="3"/>
      <c r="G221" s="3"/>
      <c r="H221" s="3"/>
      <c r="I221" s="3"/>
      <c r="J221" s="3"/>
    </row>
    <row r="222" ht="12.5" spans="6:10">
      <c r="F222" s="3"/>
      <c r="G222" s="3"/>
      <c r="H222" s="3"/>
      <c r="I222" s="3"/>
      <c r="J222" s="3"/>
    </row>
    <row r="223" ht="12.5" spans="6:10">
      <c r="F223" s="3"/>
      <c r="G223" s="3"/>
      <c r="H223" s="3"/>
      <c r="I223" s="3"/>
      <c r="J223" s="3"/>
    </row>
    <row r="224" ht="12.5" spans="6:10">
      <c r="F224" s="3"/>
      <c r="G224" s="3"/>
      <c r="H224" s="3"/>
      <c r="I224" s="3"/>
      <c r="J224" s="3"/>
    </row>
    <row r="225" ht="12.5" spans="6:10">
      <c r="F225" s="3"/>
      <c r="G225" s="3"/>
      <c r="H225" s="3"/>
      <c r="I225" s="3"/>
      <c r="J225" s="3"/>
    </row>
    <row r="226" ht="12.5" spans="6:10">
      <c r="F226" s="3"/>
      <c r="G226" s="3"/>
      <c r="H226" s="3"/>
      <c r="I226" s="3"/>
      <c r="J226" s="3"/>
    </row>
    <row r="227" ht="12.5" spans="6:10">
      <c r="F227" s="3"/>
      <c r="G227" s="3"/>
      <c r="H227" s="3"/>
      <c r="I227" s="3"/>
      <c r="J227" s="3"/>
    </row>
    <row r="228" ht="12.5" spans="6:10">
      <c r="F228" s="3"/>
      <c r="G228" s="3"/>
      <c r="H228" s="3"/>
      <c r="I228" s="3"/>
      <c r="J228" s="3"/>
    </row>
    <row r="229" ht="12.5" spans="6:10">
      <c r="F229" s="3"/>
      <c r="G229" s="3"/>
      <c r="H229" s="3"/>
      <c r="I229" s="3"/>
      <c r="J229" s="3"/>
    </row>
    <row r="230" ht="12.5" spans="6:10">
      <c r="F230" s="3"/>
      <c r="G230" s="3"/>
      <c r="H230" s="3"/>
      <c r="I230" s="3"/>
      <c r="J230" s="3"/>
    </row>
    <row r="231" ht="12.5" spans="6:10">
      <c r="F231" s="3"/>
      <c r="G231" s="3"/>
      <c r="H231" s="3"/>
      <c r="I231" s="3"/>
      <c r="J231" s="3"/>
    </row>
    <row r="232" ht="12.5" spans="6:10">
      <c r="F232" s="3"/>
      <c r="G232" s="3"/>
      <c r="H232" s="3"/>
      <c r="I232" s="3"/>
      <c r="J232" s="3"/>
    </row>
    <row r="233" ht="12.5" spans="6:10">
      <c r="F233" s="3"/>
      <c r="G233" s="3"/>
      <c r="H233" s="3"/>
      <c r="I233" s="3"/>
      <c r="J233" s="3"/>
    </row>
    <row r="234" ht="12.5" spans="6:10">
      <c r="F234" s="3"/>
      <c r="G234" s="3"/>
      <c r="H234" s="3"/>
      <c r="I234" s="3"/>
      <c r="J234" s="3"/>
    </row>
    <row r="235" ht="12.5" spans="6:10">
      <c r="F235" s="3"/>
      <c r="G235" s="3"/>
      <c r="H235" s="3"/>
      <c r="I235" s="3"/>
      <c r="J235" s="3"/>
    </row>
    <row r="236" ht="12.5" spans="6:10">
      <c r="F236" s="3"/>
      <c r="G236" s="3"/>
      <c r="H236" s="3"/>
      <c r="I236" s="3"/>
      <c r="J236" s="3"/>
    </row>
    <row r="237" ht="12.5" spans="6:10">
      <c r="F237" s="3"/>
      <c r="G237" s="3"/>
      <c r="H237" s="3"/>
      <c r="I237" s="3"/>
      <c r="J237" s="3"/>
    </row>
    <row r="238" ht="12.5" spans="6:10">
      <c r="F238" s="3"/>
      <c r="G238" s="3"/>
      <c r="H238" s="3"/>
      <c r="I238" s="3"/>
      <c r="J238" s="3"/>
    </row>
    <row r="239" ht="12.5" spans="6:10">
      <c r="F239" s="3"/>
      <c r="G239" s="3"/>
      <c r="H239" s="3"/>
      <c r="I239" s="3"/>
      <c r="J239" s="3"/>
    </row>
    <row r="240" ht="12.5" spans="6:10">
      <c r="F240" s="3"/>
      <c r="G240" s="3"/>
      <c r="H240" s="3"/>
      <c r="I240" s="3"/>
      <c r="J240" s="3"/>
    </row>
    <row r="241" ht="12.5" spans="6:10">
      <c r="F241" s="3"/>
      <c r="G241" s="3"/>
      <c r="H241" s="3"/>
      <c r="I241" s="3"/>
      <c r="J241" s="3"/>
    </row>
    <row r="242" ht="12.5" spans="6:10">
      <c r="F242" s="3"/>
      <c r="G242" s="3"/>
      <c r="H242" s="3"/>
      <c r="I242" s="3"/>
      <c r="J242" s="3"/>
    </row>
    <row r="243" ht="12.5" spans="6:10">
      <c r="F243" s="3"/>
      <c r="G243" s="3"/>
      <c r="H243" s="3"/>
      <c r="I243" s="3"/>
      <c r="J243" s="3"/>
    </row>
    <row r="244" ht="12.5" spans="6:10">
      <c r="F244" s="3"/>
      <c r="G244" s="3"/>
      <c r="H244" s="3"/>
      <c r="I244" s="3"/>
      <c r="J244" s="3"/>
    </row>
    <row r="245" ht="12.5" spans="6:10">
      <c r="F245" s="3"/>
      <c r="G245" s="3"/>
      <c r="H245" s="3"/>
      <c r="I245" s="3"/>
      <c r="J245" s="3"/>
    </row>
    <row r="246" ht="12.5" spans="6:10">
      <c r="F246" s="3"/>
      <c r="G246" s="3"/>
      <c r="H246" s="3"/>
      <c r="I246" s="3"/>
      <c r="J246" s="3"/>
    </row>
    <row r="247" ht="12.5" spans="6:10">
      <c r="F247" s="3"/>
      <c r="G247" s="3"/>
      <c r="H247" s="3"/>
      <c r="I247" s="3"/>
      <c r="J247" s="3"/>
    </row>
    <row r="248" ht="12.5" spans="6:10">
      <c r="F248" s="3"/>
      <c r="G248" s="3"/>
      <c r="H248" s="3"/>
      <c r="I248" s="3"/>
      <c r="J248" s="3"/>
    </row>
    <row r="249" ht="12.5" spans="6:10">
      <c r="F249" s="3"/>
      <c r="G249" s="3"/>
      <c r="H249" s="3"/>
      <c r="I249" s="3"/>
      <c r="J249" s="3"/>
    </row>
    <row r="250" ht="12.5" spans="6:10">
      <c r="F250" s="3"/>
      <c r="G250" s="3"/>
      <c r="H250" s="3"/>
      <c r="I250" s="3"/>
      <c r="J250" s="3"/>
    </row>
    <row r="251" ht="12.5" spans="6:10">
      <c r="F251" s="3"/>
      <c r="G251" s="3"/>
      <c r="H251" s="3"/>
      <c r="I251" s="3"/>
      <c r="J251" s="3"/>
    </row>
    <row r="252" ht="12.5" spans="6:10">
      <c r="F252" s="3"/>
      <c r="G252" s="3"/>
      <c r="H252" s="3"/>
      <c r="I252" s="3"/>
      <c r="J252" s="3"/>
    </row>
    <row r="253" ht="12.5" spans="6:10">
      <c r="F253" s="3"/>
      <c r="G253" s="3"/>
      <c r="H253" s="3"/>
      <c r="I253" s="3"/>
      <c r="J253" s="3"/>
    </row>
    <row r="254" ht="12.5" spans="6:10">
      <c r="F254" s="3"/>
      <c r="G254" s="3"/>
      <c r="H254" s="3"/>
      <c r="I254" s="3"/>
      <c r="J254" s="3"/>
    </row>
    <row r="255" ht="12.5" spans="6:10">
      <c r="F255" s="3"/>
      <c r="G255" s="3"/>
      <c r="H255" s="3"/>
      <c r="I255" s="3"/>
      <c r="J255" s="3"/>
    </row>
    <row r="256" ht="12.5" spans="6:10">
      <c r="F256" s="3"/>
      <c r="G256" s="3"/>
      <c r="H256" s="3"/>
      <c r="I256" s="3"/>
      <c r="J256" s="3"/>
    </row>
    <row r="257" ht="12.5" spans="6:10">
      <c r="F257" s="3"/>
      <c r="G257" s="3"/>
      <c r="H257" s="3"/>
      <c r="I257" s="3"/>
      <c r="J257" s="3"/>
    </row>
    <row r="258" ht="12.5" spans="6:10">
      <c r="F258" s="3"/>
      <c r="G258" s="3"/>
      <c r="H258" s="3"/>
      <c r="I258" s="3"/>
      <c r="J258" s="3"/>
    </row>
    <row r="259" ht="12.5" spans="6:10">
      <c r="F259" s="3"/>
      <c r="G259" s="3"/>
      <c r="H259" s="3"/>
      <c r="I259" s="3"/>
      <c r="J259" s="3"/>
    </row>
    <row r="260" ht="12.5" spans="6:10">
      <c r="F260" s="3"/>
      <c r="G260" s="3"/>
      <c r="H260" s="3"/>
      <c r="I260" s="3"/>
      <c r="J260" s="3"/>
    </row>
    <row r="261" ht="12.5" spans="6:10">
      <c r="F261" s="3"/>
      <c r="G261" s="3"/>
      <c r="H261" s="3"/>
      <c r="I261" s="3"/>
      <c r="J261" s="3"/>
    </row>
    <row r="262" ht="12.5" spans="6:10">
      <c r="F262" s="3"/>
      <c r="G262" s="3"/>
      <c r="H262" s="3"/>
      <c r="I262" s="3"/>
      <c r="J262" s="3"/>
    </row>
    <row r="263" ht="12.5" spans="6:10">
      <c r="F263" s="3"/>
      <c r="G263" s="3"/>
      <c r="H263" s="3"/>
      <c r="I263" s="3"/>
      <c r="J263" s="3"/>
    </row>
    <row r="264" ht="12.5" spans="6:10">
      <c r="F264" s="3"/>
      <c r="G264" s="3"/>
      <c r="H264" s="3"/>
      <c r="I264" s="3"/>
      <c r="J264" s="3"/>
    </row>
    <row r="265" ht="12.5" spans="6:10">
      <c r="F265" s="3"/>
      <c r="G265" s="3"/>
      <c r="H265" s="3"/>
      <c r="I265" s="3"/>
      <c r="J265" s="3"/>
    </row>
    <row r="266" ht="12.5" spans="6:10">
      <c r="F266" s="3"/>
      <c r="G266" s="3"/>
      <c r="H266" s="3"/>
      <c r="I266" s="3"/>
      <c r="J266" s="3"/>
    </row>
    <row r="267" ht="12.5" spans="6:10">
      <c r="F267" s="3"/>
      <c r="G267" s="3"/>
      <c r="H267" s="3"/>
      <c r="I267" s="3"/>
      <c r="J267" s="3"/>
    </row>
    <row r="268" ht="12.5" spans="6:10">
      <c r="F268" s="3"/>
      <c r="G268" s="3"/>
      <c r="H268" s="3"/>
      <c r="I268" s="3"/>
      <c r="J268" s="3"/>
    </row>
    <row r="269" ht="12.5" spans="6:10">
      <c r="F269" s="3"/>
      <c r="G269" s="3"/>
      <c r="H269" s="3"/>
      <c r="I269" s="3"/>
      <c r="J269" s="3"/>
    </row>
    <row r="270" ht="12.5" spans="6:10">
      <c r="F270" s="3"/>
      <c r="G270" s="3"/>
      <c r="H270" s="3"/>
      <c r="I270" s="3"/>
      <c r="J270" s="3"/>
    </row>
    <row r="271" ht="12.5" spans="6:10">
      <c r="F271" s="3"/>
      <c r="G271" s="3"/>
      <c r="H271" s="3"/>
      <c r="I271" s="3"/>
      <c r="J271" s="3"/>
    </row>
    <row r="272" ht="12.5" spans="6:10">
      <c r="F272" s="3"/>
      <c r="G272" s="3"/>
      <c r="H272" s="3"/>
      <c r="I272" s="3"/>
      <c r="J272" s="3"/>
    </row>
    <row r="273" ht="12.5" spans="6:10">
      <c r="F273" s="3"/>
      <c r="G273" s="3"/>
      <c r="H273" s="3"/>
      <c r="I273" s="3"/>
      <c r="J273" s="3"/>
    </row>
    <row r="274" ht="12.5" spans="6:10">
      <c r="F274" s="3"/>
      <c r="G274" s="3"/>
      <c r="H274" s="3"/>
      <c r="I274" s="3"/>
      <c r="J274" s="3"/>
    </row>
    <row r="275" ht="12.5" spans="6:10">
      <c r="F275" s="3"/>
      <c r="G275" s="3"/>
      <c r="H275" s="3"/>
      <c r="I275" s="3"/>
      <c r="J275" s="3"/>
    </row>
    <row r="276" ht="12.5" spans="6:10">
      <c r="F276" s="3"/>
      <c r="G276" s="3"/>
      <c r="H276" s="3"/>
      <c r="I276" s="3"/>
      <c r="J276" s="3"/>
    </row>
    <row r="277" ht="12.5" spans="6:10">
      <c r="F277" s="3"/>
      <c r="G277" s="3"/>
      <c r="H277" s="3"/>
      <c r="I277" s="3"/>
      <c r="J277" s="3"/>
    </row>
    <row r="278" ht="12.5" spans="6:10">
      <c r="F278" s="3"/>
      <c r="G278" s="3"/>
      <c r="H278" s="3"/>
      <c r="I278" s="3"/>
      <c r="J278" s="3"/>
    </row>
    <row r="279" ht="12.5" spans="6:10">
      <c r="F279" s="3"/>
      <c r="G279" s="3"/>
      <c r="H279" s="3"/>
      <c r="I279" s="3"/>
      <c r="J279" s="3"/>
    </row>
    <row r="280" ht="12.5" spans="6:10">
      <c r="F280" s="3"/>
      <c r="G280" s="3"/>
      <c r="H280" s="3"/>
      <c r="I280" s="3"/>
      <c r="J280" s="3"/>
    </row>
    <row r="281" ht="12.5" spans="6:10">
      <c r="F281" s="3"/>
      <c r="G281" s="3"/>
      <c r="H281" s="3"/>
      <c r="I281" s="3"/>
      <c r="J281" s="3"/>
    </row>
    <row r="282" ht="12.5" spans="6:10">
      <c r="F282" s="3"/>
      <c r="G282" s="3"/>
      <c r="H282" s="3"/>
      <c r="I282" s="3"/>
      <c r="J282" s="3"/>
    </row>
    <row r="283" ht="12.5" spans="6:10">
      <c r="F283" s="3"/>
      <c r="G283" s="3"/>
      <c r="H283" s="3"/>
      <c r="I283" s="3"/>
      <c r="J283" s="3"/>
    </row>
    <row r="284" ht="12.5" spans="6:10">
      <c r="F284" s="3"/>
      <c r="G284" s="3"/>
      <c r="H284" s="3"/>
      <c r="I284" s="3"/>
      <c r="J284" s="3"/>
    </row>
    <row r="285" ht="12.5" spans="6:10">
      <c r="F285" s="3"/>
      <c r="G285" s="3"/>
      <c r="H285" s="3"/>
      <c r="I285" s="3"/>
      <c r="J285" s="3"/>
    </row>
    <row r="286" ht="12.5" spans="6:10">
      <c r="F286" s="3"/>
      <c r="G286" s="3"/>
      <c r="H286" s="3"/>
      <c r="I286" s="3"/>
      <c r="J286" s="3"/>
    </row>
    <row r="287" ht="12.5" spans="6:10">
      <c r="F287" s="3"/>
      <c r="G287" s="3"/>
      <c r="H287" s="3"/>
      <c r="I287" s="3"/>
      <c r="J287" s="3"/>
    </row>
    <row r="288" ht="12.5" spans="6:10">
      <c r="F288" s="3"/>
      <c r="G288" s="3"/>
      <c r="H288" s="3"/>
      <c r="I288" s="3"/>
      <c r="J288" s="3"/>
    </row>
    <row r="289" ht="12.5" spans="6:10">
      <c r="F289" s="3"/>
      <c r="G289" s="3"/>
      <c r="H289" s="3"/>
      <c r="I289" s="3"/>
      <c r="J289" s="3"/>
    </row>
    <row r="290" ht="12.5" spans="6:10">
      <c r="F290" s="3"/>
      <c r="G290" s="3"/>
      <c r="H290" s="3"/>
      <c r="I290" s="3"/>
      <c r="J290" s="3"/>
    </row>
    <row r="291" ht="12.5" spans="6:10">
      <c r="F291" s="3"/>
      <c r="G291" s="3"/>
      <c r="H291" s="3"/>
      <c r="I291" s="3"/>
      <c r="J291" s="3"/>
    </row>
    <row r="292" ht="12.5" spans="6:10">
      <c r="F292" s="3"/>
      <c r="G292" s="3"/>
      <c r="H292" s="3"/>
      <c r="I292" s="3"/>
      <c r="J292" s="3"/>
    </row>
    <row r="293" ht="12.5" spans="6:10">
      <c r="F293" s="3"/>
      <c r="G293" s="3"/>
      <c r="H293" s="3"/>
      <c r="I293" s="3"/>
      <c r="J293" s="3"/>
    </row>
    <row r="294" ht="12.5" spans="6:10">
      <c r="F294" s="3"/>
      <c r="G294" s="3"/>
      <c r="H294" s="3"/>
      <c r="I294" s="3"/>
      <c r="J294" s="3"/>
    </row>
    <row r="295" ht="12.5" spans="6:10">
      <c r="F295" s="3"/>
      <c r="G295" s="3"/>
      <c r="H295" s="3"/>
      <c r="I295" s="3"/>
      <c r="J295" s="3"/>
    </row>
    <row r="296" ht="12.5" spans="6:10">
      <c r="F296" s="3"/>
      <c r="G296" s="3"/>
      <c r="H296" s="3"/>
      <c r="I296" s="3"/>
      <c r="J296" s="3"/>
    </row>
    <row r="297" ht="12.5" spans="6:10">
      <c r="F297" s="3"/>
      <c r="G297" s="3"/>
      <c r="H297" s="3"/>
      <c r="I297" s="3"/>
      <c r="J297" s="3"/>
    </row>
    <row r="298" ht="12.5" spans="6:10">
      <c r="F298" s="3"/>
      <c r="G298" s="3"/>
      <c r="H298" s="3"/>
      <c r="I298" s="3"/>
      <c r="J298" s="3"/>
    </row>
    <row r="299" ht="12.5" spans="6:10">
      <c r="F299" s="3"/>
      <c r="G299" s="3"/>
      <c r="H299" s="3"/>
      <c r="I299" s="3"/>
      <c r="J299" s="3"/>
    </row>
    <row r="300" ht="12.5" spans="6:10">
      <c r="F300" s="3"/>
      <c r="G300" s="3"/>
      <c r="H300" s="3"/>
      <c r="I300" s="3"/>
      <c r="J300" s="3"/>
    </row>
    <row r="301" ht="12.5" spans="6:10">
      <c r="F301" s="3"/>
      <c r="G301" s="3"/>
      <c r="H301" s="3"/>
      <c r="I301" s="3"/>
      <c r="J301" s="3"/>
    </row>
    <row r="302" ht="12.5" spans="6:10">
      <c r="F302" s="3"/>
      <c r="G302" s="3"/>
      <c r="H302" s="3"/>
      <c r="I302" s="3"/>
      <c r="J302" s="3"/>
    </row>
    <row r="303" ht="12.5" spans="6:10">
      <c r="F303" s="3"/>
      <c r="G303" s="3"/>
      <c r="H303" s="3"/>
      <c r="I303" s="3"/>
      <c r="J303" s="3"/>
    </row>
    <row r="304" ht="12.5" spans="6:10">
      <c r="F304" s="3"/>
      <c r="G304" s="3"/>
      <c r="H304" s="3"/>
      <c r="I304" s="3"/>
      <c r="J304" s="3"/>
    </row>
    <row r="305" ht="12.5" spans="6:10">
      <c r="F305" s="3"/>
      <c r="G305" s="3"/>
      <c r="H305" s="3"/>
      <c r="I305" s="3"/>
      <c r="J305" s="3"/>
    </row>
    <row r="306" ht="12.5" spans="6:10">
      <c r="F306" s="3"/>
      <c r="G306" s="3"/>
      <c r="H306" s="3"/>
      <c r="I306" s="3"/>
      <c r="J306" s="3"/>
    </row>
    <row r="307" ht="12.5" spans="6:10">
      <c r="F307" s="3"/>
      <c r="G307" s="3"/>
      <c r="H307" s="3"/>
      <c r="I307" s="3"/>
      <c r="J307" s="3"/>
    </row>
    <row r="308" ht="12.5" spans="6:10">
      <c r="F308" s="3"/>
      <c r="G308" s="3"/>
      <c r="H308" s="3"/>
      <c r="I308" s="3"/>
      <c r="J308" s="3"/>
    </row>
    <row r="309" ht="12.5" spans="6:10">
      <c r="F309" s="3"/>
      <c r="G309" s="3"/>
      <c r="H309" s="3"/>
      <c r="I309" s="3"/>
      <c r="J309" s="3"/>
    </row>
    <row r="310" ht="12.5" spans="6:10">
      <c r="F310" s="3"/>
      <c r="G310" s="3"/>
      <c r="H310" s="3"/>
      <c r="I310" s="3"/>
      <c r="J310" s="3"/>
    </row>
    <row r="311" ht="12.5" spans="6:10">
      <c r="F311" s="3"/>
      <c r="G311" s="3"/>
      <c r="H311" s="3"/>
      <c r="I311" s="3"/>
      <c r="J311" s="3"/>
    </row>
    <row r="312" ht="12.5" spans="6:10">
      <c r="F312" s="3"/>
      <c r="G312" s="3"/>
      <c r="H312" s="3"/>
      <c r="I312" s="3"/>
      <c r="J312" s="3"/>
    </row>
    <row r="313" ht="12.5" spans="6:10">
      <c r="F313" s="3"/>
      <c r="G313" s="3"/>
      <c r="H313" s="3"/>
      <c r="I313" s="3"/>
      <c r="J313" s="3"/>
    </row>
    <row r="314" ht="12.5" spans="6:10">
      <c r="F314" s="3"/>
      <c r="G314" s="3"/>
      <c r="H314" s="3"/>
      <c r="I314" s="3"/>
      <c r="J314" s="3"/>
    </row>
    <row r="315" ht="12.5" spans="6:10">
      <c r="F315" s="3"/>
      <c r="G315" s="3"/>
      <c r="H315" s="3"/>
      <c r="I315" s="3"/>
      <c r="J315" s="3"/>
    </row>
    <row r="316" ht="12.5" spans="6:10">
      <c r="F316" s="3"/>
      <c r="G316" s="3"/>
      <c r="H316" s="3"/>
      <c r="I316" s="3"/>
      <c r="J316" s="3"/>
    </row>
    <row r="317" ht="12.5" spans="6:10">
      <c r="F317" s="3"/>
      <c r="G317" s="3"/>
      <c r="H317" s="3"/>
      <c r="I317" s="3"/>
      <c r="J317" s="3"/>
    </row>
    <row r="318" ht="12.5" spans="6:10">
      <c r="F318" s="3"/>
      <c r="G318" s="3"/>
      <c r="H318" s="3"/>
      <c r="I318" s="3"/>
      <c r="J318" s="3"/>
    </row>
    <row r="319" ht="12.5" spans="6:10">
      <c r="F319" s="3"/>
      <c r="G319" s="3"/>
      <c r="H319" s="3"/>
      <c r="I319" s="3"/>
      <c r="J319" s="3"/>
    </row>
    <row r="320" ht="12.5" spans="6:10">
      <c r="F320" s="3"/>
      <c r="G320" s="3"/>
      <c r="H320" s="3"/>
      <c r="I320" s="3"/>
      <c r="J320" s="3"/>
    </row>
    <row r="321" ht="12.5" spans="6:10">
      <c r="F321" s="3"/>
      <c r="G321" s="3"/>
      <c r="H321" s="3"/>
      <c r="I321" s="3"/>
      <c r="J321" s="3"/>
    </row>
    <row r="322" ht="12.5" spans="6:10">
      <c r="F322" s="3"/>
      <c r="G322" s="3"/>
      <c r="H322" s="3"/>
      <c r="I322" s="3"/>
      <c r="J322" s="3"/>
    </row>
    <row r="323" ht="12.5" spans="6:10">
      <c r="F323" s="3"/>
      <c r="G323" s="3"/>
      <c r="H323" s="3"/>
      <c r="I323" s="3"/>
      <c r="J323" s="3"/>
    </row>
    <row r="324" ht="12.5" spans="6:10">
      <c r="F324" s="3"/>
      <c r="G324" s="3"/>
      <c r="H324" s="3"/>
      <c r="I324" s="3"/>
      <c r="J324" s="3"/>
    </row>
    <row r="325" ht="12.5" spans="6:10">
      <c r="F325" s="3"/>
      <c r="G325" s="3"/>
      <c r="H325" s="3"/>
      <c r="I325" s="3"/>
      <c r="J325" s="3"/>
    </row>
    <row r="326" ht="12.5" spans="6:10">
      <c r="F326" s="3"/>
      <c r="G326" s="3"/>
      <c r="H326" s="3"/>
      <c r="I326" s="3"/>
      <c r="J326" s="3"/>
    </row>
    <row r="327" ht="12.5" spans="6:10">
      <c r="F327" s="3"/>
      <c r="G327" s="3"/>
      <c r="H327" s="3"/>
      <c r="I327" s="3"/>
      <c r="J327" s="3"/>
    </row>
    <row r="328" ht="12.5" spans="6:10">
      <c r="F328" s="3"/>
      <c r="G328" s="3"/>
      <c r="H328" s="3"/>
      <c r="I328" s="3"/>
      <c r="J328" s="3"/>
    </row>
    <row r="329" ht="12.5" spans="6:10">
      <c r="F329" s="3"/>
      <c r="G329" s="3"/>
      <c r="H329" s="3"/>
      <c r="I329" s="3"/>
      <c r="J329" s="3"/>
    </row>
    <row r="330" ht="12.5" spans="6:10">
      <c r="F330" s="3"/>
      <c r="G330" s="3"/>
      <c r="H330" s="3"/>
      <c r="I330" s="3"/>
      <c r="J330" s="3"/>
    </row>
    <row r="331" ht="12.5" spans="6:10">
      <c r="F331" s="3"/>
      <c r="G331" s="3"/>
      <c r="H331" s="3"/>
      <c r="I331" s="3"/>
      <c r="J331" s="3"/>
    </row>
    <row r="332" ht="12.5" spans="6:10">
      <c r="F332" s="3"/>
      <c r="G332" s="3"/>
      <c r="H332" s="3"/>
      <c r="I332" s="3"/>
      <c r="J332" s="3"/>
    </row>
    <row r="333" ht="12.5" spans="6:10">
      <c r="F333" s="3"/>
      <c r="G333" s="3"/>
      <c r="H333" s="3"/>
      <c r="I333" s="3"/>
      <c r="J333" s="3"/>
    </row>
    <row r="334" ht="12.5" spans="6:10">
      <c r="F334" s="3"/>
      <c r="G334" s="3"/>
      <c r="H334" s="3"/>
      <c r="I334" s="3"/>
      <c r="J334" s="3"/>
    </row>
    <row r="335" ht="12.5" spans="6:10">
      <c r="F335" s="3"/>
      <c r="G335" s="3"/>
      <c r="H335" s="3"/>
      <c r="I335" s="3"/>
      <c r="J335" s="3"/>
    </row>
    <row r="336" ht="12.5" spans="6:10">
      <c r="F336" s="3"/>
      <c r="G336" s="3"/>
      <c r="H336" s="3"/>
      <c r="I336" s="3"/>
      <c r="J336" s="3"/>
    </row>
    <row r="337" ht="12.5" spans="6:10">
      <c r="F337" s="3"/>
      <c r="G337" s="3"/>
      <c r="H337" s="3"/>
      <c r="I337" s="3"/>
      <c r="J337" s="3"/>
    </row>
    <row r="338" ht="12.5" spans="6:10">
      <c r="F338" s="3"/>
      <c r="G338" s="3"/>
      <c r="H338" s="3"/>
      <c r="I338" s="3"/>
      <c r="J338" s="3"/>
    </row>
    <row r="339" ht="12.5" spans="6:10">
      <c r="F339" s="3"/>
      <c r="G339" s="3"/>
      <c r="H339" s="3"/>
      <c r="I339" s="3"/>
      <c r="J339" s="3"/>
    </row>
    <row r="340" ht="12.5" spans="6:10">
      <c r="F340" s="3"/>
      <c r="G340" s="3"/>
      <c r="H340" s="3"/>
      <c r="I340" s="3"/>
      <c r="J340" s="3"/>
    </row>
    <row r="341" ht="12.5" spans="6:10">
      <c r="F341" s="3"/>
      <c r="G341" s="3"/>
      <c r="H341" s="3"/>
      <c r="I341" s="3"/>
      <c r="J341" s="3"/>
    </row>
    <row r="342" ht="12.5" spans="6:10">
      <c r="F342" s="3"/>
      <c r="G342" s="3"/>
      <c r="H342" s="3"/>
      <c r="I342" s="3"/>
      <c r="J342" s="3"/>
    </row>
    <row r="343" ht="12.5" spans="6:10">
      <c r="F343" s="3"/>
      <c r="G343" s="3"/>
      <c r="H343" s="3"/>
      <c r="I343" s="3"/>
      <c r="J343" s="3"/>
    </row>
    <row r="344" ht="12.5" spans="6:10">
      <c r="F344" s="3"/>
      <c r="G344" s="3"/>
      <c r="H344" s="3"/>
      <c r="I344" s="3"/>
      <c r="J344" s="3"/>
    </row>
    <row r="345" ht="12.5" spans="6:10">
      <c r="F345" s="3"/>
      <c r="G345" s="3"/>
      <c r="H345" s="3"/>
      <c r="I345" s="3"/>
      <c r="J345" s="3"/>
    </row>
    <row r="346" ht="12.5" spans="6:10">
      <c r="F346" s="3"/>
      <c r="G346" s="3"/>
      <c r="H346" s="3"/>
      <c r="I346" s="3"/>
      <c r="J346" s="3"/>
    </row>
    <row r="347" ht="12.5" spans="6:10">
      <c r="F347" s="3"/>
      <c r="G347" s="3"/>
      <c r="H347" s="3"/>
      <c r="I347" s="3"/>
      <c r="J347" s="3"/>
    </row>
    <row r="348" ht="12.5" spans="6:10">
      <c r="F348" s="3"/>
      <c r="G348" s="3"/>
      <c r="H348" s="3"/>
      <c r="I348" s="3"/>
      <c r="J348" s="3"/>
    </row>
    <row r="349" ht="12.5" spans="6:10">
      <c r="F349" s="3"/>
      <c r="G349" s="3"/>
      <c r="H349" s="3"/>
      <c r="I349" s="3"/>
      <c r="J349" s="3"/>
    </row>
    <row r="350" ht="12.5" spans="6:10">
      <c r="F350" s="3"/>
      <c r="G350" s="3"/>
      <c r="H350" s="3"/>
      <c r="I350" s="3"/>
      <c r="J350" s="3"/>
    </row>
    <row r="351" ht="12.5" spans="6:10">
      <c r="F351" s="3"/>
      <c r="G351" s="3"/>
      <c r="H351" s="3"/>
      <c r="I351" s="3"/>
      <c r="J351" s="3"/>
    </row>
    <row r="352" ht="12.5" spans="6:10">
      <c r="F352" s="3"/>
      <c r="G352" s="3"/>
      <c r="H352" s="3"/>
      <c r="I352" s="3"/>
      <c r="J352" s="3"/>
    </row>
    <row r="353" ht="12.5" spans="6:10">
      <c r="F353" s="3"/>
      <c r="G353" s="3"/>
      <c r="H353" s="3"/>
      <c r="I353" s="3"/>
      <c r="J353" s="3"/>
    </row>
    <row r="354" ht="12.5" spans="6:10">
      <c r="F354" s="3"/>
      <c r="G354" s="3"/>
      <c r="H354" s="3"/>
      <c r="I354" s="3"/>
      <c r="J354" s="3"/>
    </row>
    <row r="355" ht="12.5" spans="6:10">
      <c r="F355" s="3"/>
      <c r="G355" s="3"/>
      <c r="H355" s="3"/>
      <c r="I355" s="3"/>
      <c r="J355" s="3"/>
    </row>
    <row r="356" ht="12.5" spans="6:10">
      <c r="F356" s="3"/>
      <c r="G356" s="3"/>
      <c r="H356" s="3"/>
      <c r="I356" s="3"/>
      <c r="J356" s="3"/>
    </row>
    <row r="357" ht="12.5" spans="6:10">
      <c r="F357" s="3"/>
      <c r="G357" s="3"/>
      <c r="H357" s="3"/>
      <c r="I357" s="3"/>
      <c r="J357" s="3"/>
    </row>
    <row r="358" ht="12.5" spans="6:10">
      <c r="F358" s="3"/>
      <c r="G358" s="3"/>
      <c r="H358" s="3"/>
      <c r="I358" s="3"/>
      <c r="J358" s="3"/>
    </row>
    <row r="359" ht="12.5" spans="6:10">
      <c r="F359" s="3"/>
      <c r="G359" s="3"/>
      <c r="H359" s="3"/>
      <c r="I359" s="3"/>
      <c r="J359" s="3"/>
    </row>
    <row r="360" ht="12.5" spans="6:10">
      <c r="F360" s="3"/>
      <c r="G360" s="3"/>
      <c r="H360" s="3"/>
      <c r="I360" s="3"/>
      <c r="J360" s="3"/>
    </row>
    <row r="361" ht="12.5" spans="6:10">
      <c r="F361" s="3"/>
      <c r="G361" s="3"/>
      <c r="H361" s="3"/>
      <c r="I361" s="3"/>
      <c r="J361" s="3"/>
    </row>
    <row r="362" ht="12.5" spans="6:10">
      <c r="F362" s="3"/>
      <c r="G362" s="3"/>
      <c r="H362" s="3"/>
      <c r="I362" s="3"/>
      <c r="J362" s="3"/>
    </row>
    <row r="363" ht="12.5" spans="6:10">
      <c r="F363" s="3"/>
      <c r="G363" s="3"/>
      <c r="H363" s="3"/>
      <c r="I363" s="3"/>
      <c r="J363" s="3"/>
    </row>
    <row r="364" ht="12.5" spans="6:10">
      <c r="F364" s="3"/>
      <c r="G364" s="3"/>
      <c r="H364" s="3"/>
      <c r="I364" s="3"/>
      <c r="J364" s="3"/>
    </row>
    <row r="365" ht="12.5" spans="6:10">
      <c r="F365" s="3"/>
      <c r="G365" s="3"/>
      <c r="H365" s="3"/>
      <c r="I365" s="3"/>
      <c r="J365" s="3"/>
    </row>
    <row r="366" ht="12.5" spans="6:10">
      <c r="F366" s="3"/>
      <c r="G366" s="3"/>
      <c r="H366" s="3"/>
      <c r="I366" s="3"/>
      <c r="J366" s="3"/>
    </row>
    <row r="367" ht="12.5" spans="6:10">
      <c r="F367" s="3"/>
      <c r="G367" s="3"/>
      <c r="H367" s="3"/>
      <c r="I367" s="3"/>
      <c r="J367" s="3"/>
    </row>
    <row r="368" ht="12.5" spans="6:10">
      <c r="F368" s="3"/>
      <c r="G368" s="3"/>
      <c r="H368" s="3"/>
      <c r="I368" s="3"/>
      <c r="J368" s="3"/>
    </row>
    <row r="369" ht="12.5" spans="6:10">
      <c r="F369" s="3"/>
      <c r="G369" s="3"/>
      <c r="H369" s="3"/>
      <c r="I369" s="3"/>
      <c r="J369" s="3"/>
    </row>
    <row r="370" ht="12.5" spans="6:10">
      <c r="F370" s="3"/>
      <c r="G370" s="3"/>
      <c r="H370" s="3"/>
      <c r="I370" s="3"/>
      <c r="J370" s="3"/>
    </row>
    <row r="371" ht="12.5" spans="6:10">
      <c r="F371" s="3"/>
      <c r="G371" s="3"/>
      <c r="H371" s="3"/>
      <c r="I371" s="3"/>
      <c r="J371" s="3"/>
    </row>
    <row r="372" ht="12.5" spans="6:10">
      <c r="F372" s="3"/>
      <c r="G372" s="3"/>
      <c r="H372" s="3"/>
      <c r="I372" s="3"/>
      <c r="J372" s="3"/>
    </row>
    <row r="373" ht="12.5" spans="6:10">
      <c r="F373" s="3"/>
      <c r="G373" s="3"/>
      <c r="H373" s="3"/>
      <c r="I373" s="3"/>
      <c r="J373" s="3"/>
    </row>
    <row r="374" ht="12.5" spans="6:10">
      <c r="F374" s="3"/>
      <c r="G374" s="3"/>
      <c r="H374" s="3"/>
      <c r="I374" s="3"/>
      <c r="J374" s="3"/>
    </row>
    <row r="375" ht="12.5" spans="6:10">
      <c r="F375" s="3"/>
      <c r="G375" s="3"/>
      <c r="H375" s="3"/>
      <c r="I375" s="3"/>
      <c r="J375" s="3"/>
    </row>
    <row r="376" ht="12.5" spans="6:10">
      <c r="F376" s="3"/>
      <c r="G376" s="3"/>
      <c r="H376" s="3"/>
      <c r="I376" s="3"/>
      <c r="J376" s="3"/>
    </row>
    <row r="377" ht="12.5" spans="6:10">
      <c r="F377" s="3"/>
      <c r="G377" s="3"/>
      <c r="H377" s="3"/>
      <c r="I377" s="3"/>
      <c r="J377" s="3"/>
    </row>
    <row r="378" ht="12.5" spans="6:10">
      <c r="F378" s="3"/>
      <c r="G378" s="3"/>
      <c r="H378" s="3"/>
      <c r="I378" s="3"/>
      <c r="J378" s="3"/>
    </row>
    <row r="379" ht="12.5" spans="6:10">
      <c r="F379" s="3"/>
      <c r="G379" s="3"/>
      <c r="H379" s="3"/>
      <c r="I379" s="3"/>
      <c r="J379" s="3"/>
    </row>
    <row r="380" ht="12.5" spans="6:10">
      <c r="F380" s="3"/>
      <c r="G380" s="3"/>
      <c r="H380" s="3"/>
      <c r="I380" s="3"/>
      <c r="J380" s="3"/>
    </row>
    <row r="381" ht="12.5" spans="6:10">
      <c r="F381" s="3"/>
      <c r="G381" s="3"/>
      <c r="H381" s="3"/>
      <c r="I381" s="3"/>
      <c r="J381" s="3"/>
    </row>
    <row r="382" ht="12.5" spans="6:10">
      <c r="F382" s="3"/>
      <c r="G382" s="3"/>
      <c r="H382" s="3"/>
      <c r="I382" s="3"/>
      <c r="J382" s="3"/>
    </row>
    <row r="383" ht="12.5" spans="6:10">
      <c r="F383" s="3"/>
      <c r="G383" s="3"/>
      <c r="H383" s="3"/>
      <c r="I383" s="3"/>
      <c r="J383" s="3"/>
    </row>
    <row r="384" ht="12.5" spans="6:10">
      <c r="F384" s="3"/>
      <c r="G384" s="3"/>
      <c r="H384" s="3"/>
      <c r="I384" s="3"/>
      <c r="J384" s="3"/>
    </row>
    <row r="385" ht="12.5" spans="6:10">
      <c r="F385" s="3"/>
      <c r="G385" s="3"/>
      <c r="H385" s="3"/>
      <c r="I385" s="3"/>
      <c r="J385" s="3"/>
    </row>
    <row r="386" ht="12.5" spans="6:10">
      <c r="F386" s="3"/>
      <c r="G386" s="3"/>
      <c r="H386" s="3"/>
      <c r="I386" s="3"/>
      <c r="J386" s="3"/>
    </row>
    <row r="387" ht="12.5" spans="6:10">
      <c r="F387" s="3"/>
      <c r="G387" s="3"/>
      <c r="H387" s="3"/>
      <c r="I387" s="3"/>
      <c r="J387" s="3"/>
    </row>
    <row r="388" ht="12.5" spans="6:10">
      <c r="F388" s="3"/>
      <c r="G388" s="3"/>
      <c r="H388" s="3"/>
      <c r="I388" s="3"/>
      <c r="J388" s="3"/>
    </row>
    <row r="389" ht="12.5" spans="6:10">
      <c r="F389" s="3"/>
      <c r="G389" s="3"/>
      <c r="H389" s="3"/>
      <c r="I389" s="3"/>
      <c r="J389" s="3"/>
    </row>
    <row r="390" ht="12.5" spans="6:10">
      <c r="F390" s="3"/>
      <c r="G390" s="3"/>
      <c r="H390" s="3"/>
      <c r="I390" s="3"/>
      <c r="J390" s="3"/>
    </row>
    <row r="391" ht="12.5" spans="6:10">
      <c r="F391" s="3"/>
      <c r="G391" s="3"/>
      <c r="H391" s="3"/>
      <c r="I391" s="3"/>
      <c r="J391" s="3"/>
    </row>
    <row r="392" ht="12.5" spans="6:10">
      <c r="F392" s="3"/>
      <c r="G392" s="3"/>
      <c r="H392" s="3"/>
      <c r="I392" s="3"/>
      <c r="J392" s="3"/>
    </row>
    <row r="393" ht="12.5" spans="6:10">
      <c r="F393" s="3"/>
      <c r="G393" s="3"/>
      <c r="H393" s="3"/>
      <c r="I393" s="3"/>
      <c r="J393" s="3"/>
    </row>
    <row r="394" ht="12.5" spans="6:10">
      <c r="F394" s="3"/>
      <c r="G394" s="3"/>
      <c r="H394" s="3"/>
      <c r="I394" s="3"/>
      <c r="J394" s="3"/>
    </row>
    <row r="395" ht="12.5" spans="6:10">
      <c r="F395" s="3"/>
      <c r="G395" s="3"/>
      <c r="H395" s="3"/>
      <c r="I395" s="3"/>
      <c r="J395" s="3"/>
    </row>
    <row r="396" ht="12.5" spans="6:10">
      <c r="F396" s="3"/>
      <c r="G396" s="3"/>
      <c r="H396" s="3"/>
      <c r="I396" s="3"/>
      <c r="J396" s="3"/>
    </row>
    <row r="397" ht="12.5" spans="6:10">
      <c r="F397" s="3"/>
      <c r="G397" s="3"/>
      <c r="H397" s="3"/>
      <c r="I397" s="3"/>
      <c r="J397" s="3"/>
    </row>
    <row r="398" ht="12.5" spans="6:10">
      <c r="F398" s="3"/>
      <c r="G398" s="3"/>
      <c r="H398" s="3"/>
      <c r="I398" s="3"/>
      <c r="J398" s="3"/>
    </row>
    <row r="399" ht="12.5" spans="6:10">
      <c r="F399" s="3"/>
      <c r="G399" s="3"/>
      <c r="H399" s="3"/>
      <c r="I399" s="3"/>
      <c r="J399" s="3"/>
    </row>
    <row r="400" ht="12.5" spans="6:10">
      <c r="F400" s="3"/>
      <c r="G400" s="3"/>
      <c r="H400" s="3"/>
      <c r="I400" s="3"/>
      <c r="J400" s="3"/>
    </row>
    <row r="401" ht="12.5" spans="6:10">
      <c r="F401" s="3"/>
      <c r="G401" s="3"/>
      <c r="H401" s="3"/>
      <c r="I401" s="3"/>
      <c r="J401" s="3"/>
    </row>
    <row r="402" ht="12.5" spans="6:10">
      <c r="F402" s="3"/>
      <c r="G402" s="3"/>
      <c r="H402" s="3"/>
      <c r="I402" s="3"/>
      <c r="J402" s="3"/>
    </row>
    <row r="403" ht="12.5" spans="6:10">
      <c r="F403" s="3"/>
      <c r="G403" s="3"/>
      <c r="H403" s="3"/>
      <c r="I403" s="3"/>
      <c r="J403" s="3"/>
    </row>
    <row r="404" ht="12.5" spans="6:10">
      <c r="F404" s="3"/>
      <c r="G404" s="3"/>
      <c r="H404" s="3"/>
      <c r="I404" s="3"/>
      <c r="J404" s="3"/>
    </row>
    <row r="405" ht="12.5" spans="6:10">
      <c r="F405" s="3"/>
      <c r="G405" s="3"/>
      <c r="H405" s="3"/>
      <c r="I405" s="3"/>
      <c r="J405" s="3"/>
    </row>
    <row r="406" ht="12.5" spans="6:10">
      <c r="F406" s="3"/>
      <c r="G406" s="3"/>
      <c r="H406" s="3"/>
      <c r="I406" s="3"/>
      <c r="J406" s="3"/>
    </row>
    <row r="407" ht="12.5" spans="6:10">
      <c r="F407" s="3"/>
      <c r="G407" s="3"/>
      <c r="H407" s="3"/>
      <c r="I407" s="3"/>
      <c r="J407" s="3"/>
    </row>
    <row r="408" ht="12.5" spans="6:10">
      <c r="F408" s="3"/>
      <c r="G408" s="3"/>
      <c r="H408" s="3"/>
      <c r="I408" s="3"/>
      <c r="J408" s="3"/>
    </row>
    <row r="409" ht="12.5" spans="6:10">
      <c r="F409" s="3"/>
      <c r="G409" s="3"/>
      <c r="H409" s="3"/>
      <c r="I409" s="3"/>
      <c r="J409" s="3"/>
    </row>
    <row r="410" ht="12.5" spans="6:10">
      <c r="F410" s="3"/>
      <c r="G410" s="3"/>
      <c r="H410" s="3"/>
      <c r="I410" s="3"/>
      <c r="J410" s="3"/>
    </row>
    <row r="411" ht="12.5" spans="6:10">
      <c r="F411" s="3"/>
      <c r="G411" s="3"/>
      <c r="H411" s="3"/>
      <c r="I411" s="3"/>
      <c r="J411" s="3"/>
    </row>
    <row r="412" ht="12.5" spans="6:10">
      <c r="F412" s="3"/>
      <c r="G412" s="3"/>
      <c r="H412" s="3"/>
      <c r="I412" s="3"/>
      <c r="J412" s="3"/>
    </row>
    <row r="413" ht="12.5" spans="6:10">
      <c r="F413" s="3"/>
      <c r="G413" s="3"/>
      <c r="H413" s="3"/>
      <c r="I413" s="3"/>
      <c r="J413" s="3"/>
    </row>
    <row r="414" ht="12.5" spans="6:10">
      <c r="F414" s="3"/>
      <c r="G414" s="3"/>
      <c r="H414" s="3"/>
      <c r="I414" s="3"/>
      <c r="J414" s="3"/>
    </row>
    <row r="415" ht="12.5" spans="6:10">
      <c r="F415" s="3"/>
      <c r="G415" s="3"/>
      <c r="H415" s="3"/>
      <c r="I415" s="3"/>
      <c r="J415" s="3"/>
    </row>
    <row r="416" ht="12.5" spans="6:10">
      <c r="F416" s="3"/>
      <c r="G416" s="3"/>
      <c r="H416" s="3"/>
      <c r="I416" s="3"/>
      <c r="J416" s="3"/>
    </row>
    <row r="417" ht="12.5" spans="6:10">
      <c r="F417" s="3"/>
      <c r="G417" s="3"/>
      <c r="H417" s="3"/>
      <c r="I417" s="3"/>
      <c r="J417" s="3"/>
    </row>
    <row r="418" ht="12.5" spans="6:10">
      <c r="F418" s="3"/>
      <c r="G418" s="3"/>
      <c r="H418" s="3"/>
      <c r="I418" s="3"/>
      <c r="J418" s="3"/>
    </row>
    <row r="419" ht="12.5" spans="6:10">
      <c r="F419" s="3"/>
      <c r="G419" s="3"/>
      <c r="H419" s="3"/>
      <c r="I419" s="3"/>
      <c r="J419" s="3"/>
    </row>
    <row r="420" ht="12.5" spans="6:10">
      <c r="F420" s="3"/>
      <c r="G420" s="3"/>
      <c r="H420" s="3"/>
      <c r="I420" s="3"/>
      <c r="J420" s="3"/>
    </row>
    <row r="421" ht="12.5" spans="6:10">
      <c r="F421" s="3"/>
      <c r="G421" s="3"/>
      <c r="H421" s="3"/>
      <c r="I421" s="3"/>
      <c r="J421" s="3"/>
    </row>
    <row r="422" ht="12.5" spans="6:10">
      <c r="F422" s="3"/>
      <c r="G422" s="3"/>
      <c r="H422" s="3"/>
      <c r="I422" s="3"/>
      <c r="J422" s="3"/>
    </row>
    <row r="423" ht="12.5" spans="6:10">
      <c r="F423" s="3"/>
      <c r="G423" s="3"/>
      <c r="H423" s="3"/>
      <c r="I423" s="3"/>
      <c r="J423" s="3"/>
    </row>
    <row r="424" ht="12.5" spans="6:10">
      <c r="F424" s="3"/>
      <c r="G424" s="3"/>
      <c r="H424" s="3"/>
      <c r="I424" s="3"/>
      <c r="J424" s="3"/>
    </row>
    <row r="425" ht="12.5" spans="6:10">
      <c r="F425" s="3"/>
      <c r="G425" s="3"/>
      <c r="H425" s="3"/>
      <c r="I425" s="3"/>
      <c r="J425" s="3"/>
    </row>
    <row r="426" ht="12.5" spans="6:10">
      <c r="F426" s="3"/>
      <c r="G426" s="3"/>
      <c r="H426" s="3"/>
      <c r="I426" s="3"/>
      <c r="J426" s="3"/>
    </row>
    <row r="427" ht="12.5" spans="6:10">
      <c r="F427" s="3"/>
      <c r="G427" s="3"/>
      <c r="H427" s="3"/>
      <c r="I427" s="3"/>
      <c r="J427" s="3"/>
    </row>
    <row r="428" ht="12.5" spans="6:10">
      <c r="F428" s="3"/>
      <c r="G428" s="3"/>
      <c r="H428" s="3"/>
      <c r="I428" s="3"/>
      <c r="J428" s="3"/>
    </row>
    <row r="429" ht="12.5" spans="6:10">
      <c r="F429" s="3"/>
      <c r="G429" s="3"/>
      <c r="H429" s="3"/>
      <c r="I429" s="3"/>
      <c r="J429" s="3"/>
    </row>
    <row r="430" ht="12.5" spans="6:10">
      <c r="F430" s="3"/>
      <c r="G430" s="3"/>
      <c r="H430" s="3"/>
      <c r="I430" s="3"/>
      <c r="J430" s="3"/>
    </row>
    <row r="431" ht="12.5" spans="6:10">
      <c r="F431" s="3"/>
      <c r="G431" s="3"/>
      <c r="H431" s="3"/>
      <c r="I431" s="3"/>
      <c r="J431" s="3"/>
    </row>
    <row r="432" ht="12.5" spans="6:10">
      <c r="F432" s="3"/>
      <c r="G432" s="3"/>
      <c r="H432" s="3"/>
      <c r="I432" s="3"/>
      <c r="J432" s="3"/>
    </row>
    <row r="433" ht="12.5" spans="6:10">
      <c r="F433" s="3"/>
      <c r="G433" s="3"/>
      <c r="H433" s="3"/>
      <c r="I433" s="3"/>
      <c r="J433" s="3"/>
    </row>
    <row r="434" ht="12.5" spans="6:10">
      <c r="F434" s="3"/>
      <c r="G434" s="3"/>
      <c r="H434" s="3"/>
      <c r="I434" s="3"/>
      <c r="J434" s="3"/>
    </row>
    <row r="435" ht="12.5" spans="6:10">
      <c r="F435" s="3"/>
      <c r="G435" s="3"/>
      <c r="H435" s="3"/>
      <c r="I435" s="3"/>
      <c r="J435" s="3"/>
    </row>
    <row r="436" ht="12.5" spans="6:10">
      <c r="F436" s="3"/>
      <c r="G436" s="3"/>
      <c r="H436" s="3"/>
      <c r="I436" s="3"/>
      <c r="J436" s="3"/>
    </row>
    <row r="437" ht="12.5" spans="6:10">
      <c r="F437" s="3"/>
      <c r="G437" s="3"/>
      <c r="H437" s="3"/>
      <c r="I437" s="3"/>
      <c r="J437" s="3"/>
    </row>
    <row r="438" ht="12.5" spans="6:10">
      <c r="F438" s="3"/>
      <c r="G438" s="3"/>
      <c r="H438" s="3"/>
      <c r="I438" s="3"/>
      <c r="J438" s="3"/>
    </row>
    <row r="439" ht="12.5" spans="6:10">
      <c r="F439" s="3"/>
      <c r="G439" s="3"/>
      <c r="H439" s="3"/>
      <c r="I439" s="3"/>
      <c r="J439" s="3"/>
    </row>
    <row r="440" ht="12.5" spans="6:10">
      <c r="F440" s="3"/>
      <c r="G440" s="3"/>
      <c r="H440" s="3"/>
      <c r="I440" s="3"/>
      <c r="J440" s="3"/>
    </row>
    <row r="441" ht="12.5" spans="6:10">
      <c r="F441" s="3"/>
      <c r="G441" s="3"/>
      <c r="H441" s="3"/>
      <c r="I441" s="3"/>
      <c r="J441" s="3"/>
    </row>
    <row r="442" ht="12.5" spans="6:10">
      <c r="F442" s="3"/>
      <c r="G442" s="3"/>
      <c r="H442" s="3"/>
      <c r="I442" s="3"/>
      <c r="J442" s="3"/>
    </row>
    <row r="443" ht="12.5" spans="6:10">
      <c r="F443" s="3"/>
      <c r="G443" s="3"/>
      <c r="H443" s="3"/>
      <c r="I443" s="3"/>
      <c r="J443" s="3"/>
    </row>
    <row r="444" ht="12.5" spans="6:10">
      <c r="F444" s="3"/>
      <c r="G444" s="3"/>
      <c r="H444" s="3"/>
      <c r="I444" s="3"/>
      <c r="J444" s="3"/>
    </row>
    <row r="445" ht="12.5" spans="6:10">
      <c r="F445" s="3"/>
      <c r="G445" s="3"/>
      <c r="H445" s="3"/>
      <c r="I445" s="3"/>
      <c r="J445" s="3"/>
    </row>
    <row r="446" ht="12.5" spans="6:10">
      <c r="F446" s="3"/>
      <c r="G446" s="3"/>
      <c r="H446" s="3"/>
      <c r="I446" s="3"/>
      <c r="J446" s="3"/>
    </row>
    <row r="447" ht="12.5" spans="6:10">
      <c r="F447" s="3"/>
      <c r="G447" s="3"/>
      <c r="H447" s="3"/>
      <c r="I447" s="3"/>
      <c r="J447" s="3"/>
    </row>
    <row r="448" ht="12.5" spans="6:10">
      <c r="F448" s="3"/>
      <c r="G448" s="3"/>
      <c r="H448" s="3"/>
      <c r="I448" s="3"/>
      <c r="J448" s="3"/>
    </row>
    <row r="449" ht="12.5" spans="6:10">
      <c r="F449" s="3"/>
      <c r="G449" s="3"/>
      <c r="H449" s="3"/>
      <c r="I449" s="3"/>
      <c r="J449" s="3"/>
    </row>
    <row r="450" ht="12.5" spans="6:10">
      <c r="F450" s="3"/>
      <c r="G450" s="3"/>
      <c r="H450" s="3"/>
      <c r="I450" s="3"/>
      <c r="J450" s="3"/>
    </row>
    <row r="451" ht="12.5" spans="6:10">
      <c r="F451" s="3"/>
      <c r="G451" s="3"/>
      <c r="H451" s="3"/>
      <c r="I451" s="3"/>
      <c r="J451" s="3"/>
    </row>
    <row r="452" ht="12.5" spans="6:10">
      <c r="F452" s="3"/>
      <c r="G452" s="3"/>
      <c r="H452" s="3"/>
      <c r="I452" s="3"/>
      <c r="J452" s="3"/>
    </row>
    <row r="453" ht="12.5" spans="6:10">
      <c r="F453" s="3"/>
      <c r="G453" s="3"/>
      <c r="H453" s="3"/>
      <c r="I453" s="3"/>
      <c r="J453" s="3"/>
    </row>
    <row r="454" ht="12.5" spans="6:10">
      <c r="F454" s="3"/>
      <c r="G454" s="3"/>
      <c r="H454" s="3"/>
      <c r="I454" s="3"/>
      <c r="J454" s="3"/>
    </row>
    <row r="455" ht="12.5" spans="6:10">
      <c r="F455" s="3"/>
      <c r="G455" s="3"/>
      <c r="H455" s="3"/>
      <c r="I455" s="3"/>
      <c r="J455" s="3"/>
    </row>
    <row r="456" ht="12.5" spans="6:10">
      <c r="F456" s="3"/>
      <c r="G456" s="3"/>
      <c r="H456" s="3"/>
      <c r="I456" s="3"/>
      <c r="J456" s="3"/>
    </row>
    <row r="457" ht="12.5" spans="6:10">
      <c r="F457" s="3"/>
      <c r="G457" s="3"/>
      <c r="H457" s="3"/>
      <c r="I457" s="3"/>
      <c r="J457" s="3"/>
    </row>
    <row r="458" ht="12.5" spans="6:10">
      <c r="F458" s="3"/>
      <c r="G458" s="3"/>
      <c r="H458" s="3"/>
      <c r="I458" s="3"/>
      <c r="J458" s="3"/>
    </row>
    <row r="459" ht="12.5" spans="6:10">
      <c r="F459" s="3"/>
      <c r="G459" s="3"/>
      <c r="H459" s="3"/>
      <c r="I459" s="3"/>
      <c r="J459" s="3"/>
    </row>
    <row r="460" ht="12.5" spans="6:10">
      <c r="F460" s="3"/>
      <c r="G460" s="3"/>
      <c r="H460" s="3"/>
      <c r="I460" s="3"/>
      <c r="J460" s="3"/>
    </row>
    <row r="461" ht="12.5" spans="6:10">
      <c r="F461" s="3"/>
      <c r="G461" s="3"/>
      <c r="H461" s="3"/>
      <c r="I461" s="3"/>
      <c r="J461" s="3"/>
    </row>
    <row r="462" ht="12.5" spans="6:10">
      <c r="F462" s="3"/>
      <c r="G462" s="3"/>
      <c r="H462" s="3"/>
      <c r="I462" s="3"/>
      <c r="J462" s="3"/>
    </row>
    <row r="463" ht="12.5" spans="6:10">
      <c r="F463" s="3"/>
      <c r="G463" s="3"/>
      <c r="H463" s="3"/>
      <c r="I463" s="3"/>
      <c r="J463" s="3"/>
    </row>
    <row r="464" ht="12.5" spans="6:10">
      <c r="F464" s="3"/>
      <c r="G464" s="3"/>
      <c r="H464" s="3"/>
      <c r="I464" s="3"/>
      <c r="J464" s="3"/>
    </row>
    <row r="465" ht="12.5" spans="6:10">
      <c r="F465" s="3"/>
      <c r="G465" s="3"/>
      <c r="H465" s="3"/>
      <c r="I465" s="3"/>
      <c r="J465" s="3"/>
    </row>
    <row r="466" ht="12.5" spans="6:10">
      <c r="F466" s="3"/>
      <c r="G466" s="3"/>
      <c r="H466" s="3"/>
      <c r="I466" s="3"/>
      <c r="J466" s="3"/>
    </row>
    <row r="467" ht="12.5" spans="6:10">
      <c r="F467" s="3"/>
      <c r="G467" s="3"/>
      <c r="H467" s="3"/>
      <c r="I467" s="3"/>
      <c r="J467" s="3"/>
    </row>
    <row r="468" ht="12.5" spans="6:10">
      <c r="F468" s="3"/>
      <c r="G468" s="3"/>
      <c r="H468" s="3"/>
      <c r="I468" s="3"/>
      <c r="J468" s="3"/>
    </row>
    <row r="469" ht="12.5" spans="6:10">
      <c r="F469" s="3"/>
      <c r="G469" s="3"/>
      <c r="H469" s="3"/>
      <c r="I469" s="3"/>
      <c r="J469" s="3"/>
    </row>
    <row r="470" ht="12.5" spans="6:10">
      <c r="F470" s="3"/>
      <c r="G470" s="3"/>
      <c r="H470" s="3"/>
      <c r="I470" s="3"/>
      <c r="J470" s="3"/>
    </row>
    <row r="471" ht="12.5" spans="6:10">
      <c r="F471" s="3"/>
      <c r="G471" s="3"/>
      <c r="H471" s="3"/>
      <c r="I471" s="3"/>
      <c r="J471" s="3"/>
    </row>
    <row r="472" ht="12.5" spans="6:10">
      <c r="F472" s="3"/>
      <c r="G472" s="3"/>
      <c r="H472" s="3"/>
      <c r="I472" s="3"/>
      <c r="J472" s="3"/>
    </row>
    <row r="473" ht="12.5" spans="6:10">
      <c r="F473" s="3"/>
      <c r="G473" s="3"/>
      <c r="H473" s="3"/>
      <c r="I473" s="3"/>
      <c r="J473" s="3"/>
    </row>
    <row r="474" ht="12.5" spans="6:10">
      <c r="F474" s="3"/>
      <c r="G474" s="3"/>
      <c r="H474" s="3"/>
      <c r="I474" s="3"/>
      <c r="J474" s="3"/>
    </row>
    <row r="475" ht="12.5" spans="6:10">
      <c r="F475" s="3"/>
      <c r="G475" s="3"/>
      <c r="H475" s="3"/>
      <c r="I475" s="3"/>
      <c r="J475" s="3"/>
    </row>
    <row r="476" ht="12.5" spans="6:10">
      <c r="F476" s="3"/>
      <c r="G476" s="3"/>
      <c r="H476" s="3"/>
      <c r="I476" s="3"/>
      <c r="J476" s="3"/>
    </row>
    <row r="477" ht="12.5" spans="6:10">
      <c r="F477" s="3"/>
      <c r="G477" s="3"/>
      <c r="H477" s="3"/>
      <c r="I477" s="3"/>
      <c r="J477" s="3"/>
    </row>
    <row r="478" ht="12.5" spans="6:10">
      <c r="F478" s="3"/>
      <c r="G478" s="3"/>
      <c r="H478" s="3"/>
      <c r="I478" s="3"/>
      <c r="J478" s="3"/>
    </row>
    <row r="479" ht="12.5" spans="6:10">
      <c r="F479" s="3"/>
      <c r="G479" s="3"/>
      <c r="H479" s="3"/>
      <c r="I479" s="3"/>
      <c r="J479" s="3"/>
    </row>
    <row r="480" ht="12.5" spans="6:10">
      <c r="F480" s="3"/>
      <c r="G480" s="3"/>
      <c r="H480" s="3"/>
      <c r="I480" s="3"/>
      <c r="J480" s="3"/>
    </row>
    <row r="481" ht="12.5" spans="6:10">
      <c r="F481" s="3"/>
      <c r="G481" s="3"/>
      <c r="H481" s="3"/>
      <c r="I481" s="3"/>
      <c r="J481" s="3"/>
    </row>
    <row r="482" ht="12.5" spans="6:10">
      <c r="F482" s="3"/>
      <c r="G482" s="3"/>
      <c r="H482" s="3"/>
      <c r="I482" s="3"/>
      <c r="J482" s="3"/>
    </row>
    <row r="483" ht="12.5" spans="6:10">
      <c r="F483" s="3"/>
      <c r="G483" s="3"/>
      <c r="H483" s="3"/>
      <c r="I483" s="3"/>
      <c r="J483" s="3"/>
    </row>
    <row r="484" ht="12.5" spans="6:10">
      <c r="F484" s="3"/>
      <c r="G484" s="3"/>
      <c r="H484" s="3"/>
      <c r="I484" s="3"/>
      <c r="J484" s="3"/>
    </row>
    <row r="485" ht="12.5" spans="6:10">
      <c r="F485" s="3"/>
      <c r="G485" s="3"/>
      <c r="H485" s="3"/>
      <c r="I485" s="3"/>
      <c r="J485" s="3"/>
    </row>
    <row r="486" ht="12.5" spans="6:10">
      <c r="F486" s="3"/>
      <c r="G486" s="3"/>
      <c r="H486" s="3"/>
      <c r="I486" s="3"/>
      <c r="J486" s="3"/>
    </row>
    <row r="487" ht="12.5" spans="6:10">
      <c r="F487" s="3"/>
      <c r="G487" s="3"/>
      <c r="H487" s="3"/>
      <c r="I487" s="3"/>
      <c r="J487" s="3"/>
    </row>
    <row r="488" ht="12.5" spans="6:10">
      <c r="F488" s="3"/>
      <c r="G488" s="3"/>
      <c r="H488" s="3"/>
      <c r="I488" s="3"/>
      <c r="J488" s="3"/>
    </row>
    <row r="489" ht="12.5" spans="6:10">
      <c r="F489" s="3"/>
      <c r="G489" s="3"/>
      <c r="H489" s="3"/>
      <c r="I489" s="3"/>
      <c r="J489" s="3"/>
    </row>
    <row r="490" ht="12.5" spans="6:10">
      <c r="F490" s="3"/>
      <c r="G490" s="3"/>
      <c r="H490" s="3"/>
      <c r="I490" s="3"/>
      <c r="J490" s="3"/>
    </row>
    <row r="491" ht="12.5" spans="6:10">
      <c r="F491" s="3"/>
      <c r="G491" s="3"/>
      <c r="H491" s="3"/>
      <c r="I491" s="3"/>
      <c r="J491" s="3"/>
    </row>
    <row r="492" ht="12.5" spans="6:10">
      <c r="F492" s="3"/>
      <c r="G492" s="3"/>
      <c r="H492" s="3"/>
      <c r="I492" s="3"/>
      <c r="J492" s="3"/>
    </row>
    <row r="493" ht="12.5" spans="6:10">
      <c r="F493" s="3"/>
      <c r="G493" s="3"/>
      <c r="H493" s="3"/>
      <c r="I493" s="3"/>
      <c r="J493" s="3"/>
    </row>
    <row r="494" ht="12.5" spans="6:10">
      <c r="F494" s="3"/>
      <c r="G494" s="3"/>
      <c r="H494" s="3"/>
      <c r="I494" s="3"/>
      <c r="J494" s="3"/>
    </row>
    <row r="495" ht="12.5" spans="6:10">
      <c r="F495" s="3"/>
      <c r="G495" s="3"/>
      <c r="H495" s="3"/>
      <c r="I495" s="3"/>
      <c r="J495" s="3"/>
    </row>
    <row r="496" ht="12.5" spans="6:10">
      <c r="F496" s="3"/>
      <c r="G496" s="3"/>
      <c r="H496" s="3"/>
      <c r="I496" s="3"/>
      <c r="J496" s="3"/>
    </row>
    <row r="497" ht="12.5" spans="6:10">
      <c r="F497" s="3"/>
      <c r="G497" s="3"/>
      <c r="H497" s="3"/>
      <c r="I497" s="3"/>
      <c r="J497" s="3"/>
    </row>
    <row r="498" ht="12.5" spans="6:10">
      <c r="F498" s="3"/>
      <c r="G498" s="3"/>
      <c r="H498" s="3"/>
      <c r="I498" s="3"/>
      <c r="J498" s="3"/>
    </row>
    <row r="499" ht="12.5" spans="6:10">
      <c r="F499" s="3"/>
      <c r="G499" s="3"/>
      <c r="H499" s="3"/>
      <c r="I499" s="3"/>
      <c r="J499" s="3"/>
    </row>
    <row r="500" ht="12.5" spans="6:10">
      <c r="F500" s="3"/>
      <c r="G500" s="3"/>
      <c r="H500" s="3"/>
      <c r="I500" s="3"/>
      <c r="J500" s="3"/>
    </row>
    <row r="501" ht="12.5" spans="6:10">
      <c r="F501" s="3"/>
      <c r="G501" s="3"/>
      <c r="H501" s="3"/>
      <c r="I501" s="3"/>
      <c r="J501" s="3"/>
    </row>
    <row r="502" ht="12.5" spans="6:10">
      <c r="F502" s="3"/>
      <c r="G502" s="3"/>
      <c r="H502" s="3"/>
      <c r="I502" s="3"/>
      <c r="J502" s="3"/>
    </row>
    <row r="503" ht="12.5" spans="6:10">
      <c r="F503" s="3"/>
      <c r="G503" s="3"/>
      <c r="H503" s="3"/>
      <c r="I503" s="3"/>
      <c r="J503" s="3"/>
    </row>
    <row r="504" ht="12.5" spans="6:10">
      <c r="F504" s="3"/>
      <c r="G504" s="3"/>
      <c r="H504" s="3"/>
      <c r="I504" s="3"/>
      <c r="J504" s="3"/>
    </row>
    <row r="505" ht="12.5" spans="6:10">
      <c r="F505" s="3"/>
      <c r="G505" s="3"/>
      <c r="H505" s="3"/>
      <c r="I505" s="3"/>
      <c r="J505" s="3"/>
    </row>
    <row r="506" ht="12.5" spans="6:10">
      <c r="F506" s="3"/>
      <c r="G506" s="3"/>
      <c r="H506" s="3"/>
      <c r="I506" s="3"/>
      <c r="J506" s="3"/>
    </row>
    <row r="507" ht="12.5" spans="6:10">
      <c r="F507" s="3"/>
      <c r="G507" s="3"/>
      <c r="H507" s="3"/>
      <c r="I507" s="3"/>
      <c r="J507" s="3"/>
    </row>
    <row r="508" ht="12.5" spans="6:10">
      <c r="F508" s="3"/>
      <c r="G508" s="3"/>
      <c r="H508" s="3"/>
      <c r="I508" s="3"/>
      <c r="J508" s="3"/>
    </row>
    <row r="509" ht="12.5" spans="6:10">
      <c r="F509" s="3"/>
      <c r="G509" s="3"/>
      <c r="H509" s="3"/>
      <c r="I509" s="3"/>
      <c r="J509" s="3"/>
    </row>
    <row r="510" ht="12.5" spans="6:10">
      <c r="F510" s="3"/>
      <c r="G510" s="3"/>
      <c r="H510" s="3"/>
      <c r="I510" s="3"/>
      <c r="J510" s="3"/>
    </row>
    <row r="511" ht="12.5" spans="6:10">
      <c r="F511" s="3"/>
      <c r="G511" s="3"/>
      <c r="H511" s="3"/>
      <c r="I511" s="3"/>
      <c r="J511" s="3"/>
    </row>
    <row r="512" ht="12.5" spans="6:10">
      <c r="F512" s="3"/>
      <c r="G512" s="3"/>
      <c r="H512" s="3"/>
      <c r="I512" s="3"/>
      <c r="J512" s="3"/>
    </row>
    <row r="513" ht="12.5" spans="6:10">
      <c r="F513" s="3"/>
      <c r="G513" s="3"/>
      <c r="H513" s="3"/>
      <c r="I513" s="3"/>
      <c r="J513" s="3"/>
    </row>
    <row r="514" ht="12.5" spans="6:10">
      <c r="F514" s="3"/>
      <c r="G514" s="3"/>
      <c r="H514" s="3"/>
      <c r="I514" s="3"/>
      <c r="J514" s="3"/>
    </row>
    <row r="515" ht="12.5" spans="6:10">
      <c r="F515" s="3"/>
      <c r="G515" s="3"/>
      <c r="H515" s="3"/>
      <c r="I515" s="3"/>
      <c r="J515" s="3"/>
    </row>
    <row r="516" ht="12.5" spans="6:10">
      <c r="F516" s="3"/>
      <c r="G516" s="3"/>
      <c r="H516" s="3"/>
      <c r="I516" s="3"/>
      <c r="J516" s="3"/>
    </row>
    <row r="517" ht="12.5" spans="6:10">
      <c r="F517" s="3"/>
      <c r="G517" s="3"/>
      <c r="H517" s="3"/>
      <c r="I517" s="3"/>
      <c r="J517" s="3"/>
    </row>
    <row r="518" ht="12.5" spans="6:10">
      <c r="F518" s="3"/>
      <c r="G518" s="3"/>
      <c r="H518" s="3"/>
      <c r="I518" s="3"/>
      <c r="J518" s="3"/>
    </row>
    <row r="519" ht="12.5" spans="6:10">
      <c r="F519" s="3"/>
      <c r="G519" s="3"/>
      <c r="H519" s="3"/>
      <c r="I519" s="3"/>
      <c r="J519" s="3"/>
    </row>
    <row r="520" ht="12.5" spans="6:10">
      <c r="F520" s="3"/>
      <c r="G520" s="3"/>
      <c r="H520" s="3"/>
      <c r="I520" s="3"/>
      <c r="J520" s="3"/>
    </row>
    <row r="521" ht="12.5" spans="6:10">
      <c r="F521" s="3"/>
      <c r="G521" s="3"/>
      <c r="H521" s="3"/>
      <c r="I521" s="3"/>
      <c r="J521" s="3"/>
    </row>
    <row r="522" ht="12.5" spans="6:10">
      <c r="F522" s="3"/>
      <c r="G522" s="3"/>
      <c r="H522" s="3"/>
      <c r="I522" s="3"/>
      <c r="J522" s="3"/>
    </row>
    <row r="523" ht="12.5" spans="6:10">
      <c r="F523" s="3"/>
      <c r="G523" s="3"/>
      <c r="H523" s="3"/>
      <c r="I523" s="3"/>
      <c r="J523" s="3"/>
    </row>
    <row r="524" ht="12.5" spans="6:10">
      <c r="F524" s="3"/>
      <c r="G524" s="3"/>
      <c r="H524" s="3"/>
      <c r="I524" s="3"/>
      <c r="J524" s="3"/>
    </row>
    <row r="525" ht="12.5" spans="6:10">
      <c r="F525" s="3"/>
      <c r="G525" s="3"/>
      <c r="H525" s="3"/>
      <c r="I525" s="3"/>
      <c r="J525" s="3"/>
    </row>
    <row r="526" ht="12.5" spans="6:10">
      <c r="F526" s="3"/>
      <c r="G526" s="3"/>
      <c r="H526" s="3"/>
      <c r="I526" s="3"/>
      <c r="J526" s="3"/>
    </row>
    <row r="527" ht="12.5" spans="6:10">
      <c r="F527" s="3"/>
      <c r="G527" s="3"/>
      <c r="H527" s="3"/>
      <c r="I527" s="3"/>
      <c r="J527" s="3"/>
    </row>
    <row r="528" ht="12.5" spans="6:10">
      <c r="F528" s="3"/>
      <c r="G528" s="3"/>
      <c r="H528" s="3"/>
      <c r="I528" s="3"/>
      <c r="J528" s="3"/>
    </row>
    <row r="529" ht="12.5" spans="6:10">
      <c r="F529" s="3"/>
      <c r="G529" s="3"/>
      <c r="H529" s="3"/>
      <c r="I529" s="3"/>
      <c r="J529" s="3"/>
    </row>
    <row r="530" ht="12.5" spans="6:10">
      <c r="F530" s="3"/>
      <c r="G530" s="3"/>
      <c r="H530" s="3"/>
      <c r="I530" s="3"/>
      <c r="J530" s="3"/>
    </row>
    <row r="531" ht="12.5" spans="6:10">
      <c r="F531" s="3"/>
      <c r="G531" s="3"/>
      <c r="H531" s="3"/>
      <c r="I531" s="3"/>
      <c r="J531" s="3"/>
    </row>
    <row r="532" ht="12.5" spans="6:10">
      <c r="F532" s="3"/>
      <c r="G532" s="3"/>
      <c r="H532" s="3"/>
      <c r="I532" s="3"/>
      <c r="J532" s="3"/>
    </row>
    <row r="533" ht="12.5" spans="6:10">
      <c r="F533" s="3"/>
      <c r="G533" s="3"/>
      <c r="H533" s="3"/>
      <c r="I533" s="3"/>
      <c r="J533" s="3"/>
    </row>
    <row r="534" ht="12.5" spans="6:10">
      <c r="F534" s="3"/>
      <c r="G534" s="3"/>
      <c r="H534" s="3"/>
      <c r="I534" s="3"/>
      <c r="J534" s="3"/>
    </row>
    <row r="535" ht="12.5" spans="6:10">
      <c r="F535" s="3"/>
      <c r="G535" s="3"/>
      <c r="H535" s="3"/>
      <c r="I535" s="3"/>
      <c r="J535" s="3"/>
    </row>
    <row r="536" ht="12.5" spans="6:10">
      <c r="F536" s="3"/>
      <c r="G536" s="3"/>
      <c r="H536" s="3"/>
      <c r="I536" s="3"/>
      <c r="J536" s="3"/>
    </row>
    <row r="537" ht="12.5" spans="6:10">
      <c r="F537" s="3"/>
      <c r="G537" s="3"/>
      <c r="H537" s="3"/>
      <c r="I537" s="3"/>
      <c r="J537" s="3"/>
    </row>
    <row r="538" ht="12.5" spans="6:10">
      <c r="F538" s="3"/>
      <c r="G538" s="3"/>
      <c r="H538" s="3"/>
      <c r="I538" s="3"/>
      <c r="J538" s="3"/>
    </row>
    <row r="539" ht="12.5" spans="6:10">
      <c r="F539" s="3"/>
      <c r="G539" s="3"/>
      <c r="H539" s="3"/>
      <c r="I539" s="3"/>
      <c r="J539" s="3"/>
    </row>
    <row r="540" ht="12.5" spans="6:10">
      <c r="F540" s="3"/>
      <c r="G540" s="3"/>
      <c r="H540" s="3"/>
      <c r="I540" s="3"/>
      <c r="J540" s="3"/>
    </row>
    <row r="541" ht="12.5" spans="6:10">
      <c r="F541" s="3"/>
      <c r="G541" s="3"/>
      <c r="H541" s="3"/>
      <c r="I541" s="3"/>
      <c r="J541" s="3"/>
    </row>
    <row r="542" ht="12.5" spans="6:10">
      <c r="F542" s="3"/>
      <c r="G542" s="3"/>
      <c r="H542" s="3"/>
      <c r="I542" s="3"/>
      <c r="J542" s="3"/>
    </row>
    <row r="543" ht="12.5" spans="6:10">
      <c r="F543" s="3"/>
      <c r="G543" s="3"/>
      <c r="H543" s="3"/>
      <c r="I543" s="3"/>
      <c r="J543" s="3"/>
    </row>
    <row r="544" ht="12.5" spans="6:10">
      <c r="F544" s="3"/>
      <c r="G544" s="3"/>
      <c r="H544" s="3"/>
      <c r="I544" s="3"/>
      <c r="J544" s="3"/>
    </row>
    <row r="545" ht="12.5" spans="6:10">
      <c r="F545" s="3"/>
      <c r="G545" s="3"/>
      <c r="H545" s="3"/>
      <c r="I545" s="3"/>
      <c r="J545" s="3"/>
    </row>
    <row r="546" ht="12.5" spans="6:10">
      <c r="F546" s="3"/>
      <c r="G546" s="3"/>
      <c r="H546" s="3"/>
      <c r="I546" s="3"/>
      <c r="J546" s="3"/>
    </row>
    <row r="547" ht="12.5" spans="6:10">
      <c r="F547" s="3"/>
      <c r="G547" s="3"/>
      <c r="H547" s="3"/>
      <c r="I547" s="3"/>
      <c r="J547" s="3"/>
    </row>
    <row r="548" ht="12.5" spans="6:10">
      <c r="F548" s="3"/>
      <c r="G548" s="3"/>
      <c r="H548" s="3"/>
      <c r="I548" s="3"/>
      <c r="J548" s="3"/>
    </row>
    <row r="549" ht="12.5" spans="6:10">
      <c r="F549" s="3"/>
      <c r="G549" s="3"/>
      <c r="H549" s="3"/>
      <c r="I549" s="3"/>
      <c r="J549" s="3"/>
    </row>
    <row r="550" ht="12.5" spans="6:10">
      <c r="F550" s="3"/>
      <c r="G550" s="3"/>
      <c r="H550" s="3"/>
      <c r="I550" s="3"/>
      <c r="J550" s="3"/>
    </row>
    <row r="551" ht="12.5" spans="6:10">
      <c r="F551" s="3"/>
      <c r="G551" s="3"/>
      <c r="H551" s="3"/>
      <c r="I551" s="3"/>
      <c r="J551" s="3"/>
    </row>
    <row r="552" ht="12.5" spans="6:10">
      <c r="F552" s="3"/>
      <c r="G552" s="3"/>
      <c r="H552" s="3"/>
      <c r="I552" s="3"/>
      <c r="J552" s="3"/>
    </row>
    <row r="553" ht="12.5" spans="6:10">
      <c r="F553" s="3"/>
      <c r="G553" s="3"/>
      <c r="H553" s="3"/>
      <c r="I553" s="3"/>
      <c r="J553" s="3"/>
    </row>
    <row r="554" ht="12.5" spans="6:10">
      <c r="F554" s="3"/>
      <c r="G554" s="3"/>
      <c r="H554" s="3"/>
      <c r="I554" s="3"/>
      <c r="J554" s="3"/>
    </row>
    <row r="555" ht="12.5" spans="6:10">
      <c r="F555" s="3"/>
      <c r="G555" s="3"/>
      <c r="H555" s="3"/>
      <c r="I555" s="3"/>
      <c r="J555" s="3"/>
    </row>
    <row r="556" ht="12.5" spans="6:10">
      <c r="F556" s="3"/>
      <c r="G556" s="3"/>
      <c r="H556" s="3"/>
      <c r="I556" s="3"/>
      <c r="J556" s="3"/>
    </row>
    <row r="557" ht="12.5" spans="6:10">
      <c r="F557" s="3"/>
      <c r="G557" s="3"/>
      <c r="H557" s="3"/>
      <c r="I557" s="3"/>
      <c r="J557" s="3"/>
    </row>
    <row r="558" ht="12.5" spans="6:10">
      <c r="F558" s="3"/>
      <c r="G558" s="3"/>
      <c r="H558" s="3"/>
      <c r="I558" s="3"/>
      <c r="J558" s="3"/>
    </row>
    <row r="559" ht="12.5" spans="6:10">
      <c r="F559" s="3"/>
      <c r="G559" s="3"/>
      <c r="H559" s="3"/>
      <c r="I559" s="3"/>
      <c r="J559" s="3"/>
    </row>
    <row r="560" ht="12.5" spans="6:10">
      <c r="F560" s="3"/>
      <c r="G560" s="3"/>
      <c r="H560" s="3"/>
      <c r="I560" s="3"/>
      <c r="J560" s="3"/>
    </row>
    <row r="561" ht="12.5" spans="6:10">
      <c r="F561" s="3"/>
      <c r="G561" s="3"/>
      <c r="H561" s="3"/>
      <c r="I561" s="3"/>
      <c r="J561" s="3"/>
    </row>
    <row r="562" ht="12.5" spans="6:10">
      <c r="F562" s="3"/>
      <c r="G562" s="3"/>
      <c r="H562" s="3"/>
      <c r="I562" s="3"/>
      <c r="J562" s="3"/>
    </row>
    <row r="563" ht="12.5" spans="6:10">
      <c r="F563" s="3"/>
      <c r="G563" s="3"/>
      <c r="H563" s="3"/>
      <c r="I563" s="3"/>
      <c r="J563" s="3"/>
    </row>
    <row r="564" ht="12.5" spans="6:10">
      <c r="F564" s="3"/>
      <c r="G564" s="3"/>
      <c r="H564" s="3"/>
      <c r="I564" s="3"/>
      <c r="J564" s="3"/>
    </row>
    <row r="565" ht="12.5" spans="6:10">
      <c r="F565" s="3"/>
      <c r="G565" s="3"/>
      <c r="H565" s="3"/>
      <c r="I565" s="3"/>
      <c r="J565" s="3"/>
    </row>
    <row r="566" ht="12.5" spans="6:10">
      <c r="F566" s="3"/>
      <c r="G566" s="3"/>
      <c r="H566" s="3"/>
      <c r="I566" s="3"/>
      <c r="J566" s="3"/>
    </row>
    <row r="567" ht="12.5" spans="6:10">
      <c r="F567" s="3"/>
      <c r="G567" s="3"/>
      <c r="H567" s="3"/>
      <c r="I567" s="3"/>
      <c r="J567" s="3"/>
    </row>
    <row r="568" ht="12.5" spans="6:10">
      <c r="F568" s="3"/>
      <c r="G568" s="3"/>
      <c r="H568" s="3"/>
      <c r="I568" s="3"/>
      <c r="J568" s="3"/>
    </row>
    <row r="569" ht="12.5" spans="6:10">
      <c r="F569" s="3"/>
      <c r="G569" s="3"/>
      <c r="H569" s="3"/>
      <c r="I569" s="3"/>
      <c r="J569" s="3"/>
    </row>
    <row r="570" ht="12.5" spans="6:10">
      <c r="F570" s="3"/>
      <c r="G570" s="3"/>
      <c r="H570" s="3"/>
      <c r="I570" s="3"/>
      <c r="J570" s="3"/>
    </row>
    <row r="571" ht="12.5" spans="6:10">
      <c r="F571" s="3"/>
      <c r="G571" s="3"/>
      <c r="H571" s="3"/>
      <c r="I571" s="3"/>
      <c r="J571" s="3"/>
    </row>
    <row r="572" ht="12.5" spans="6:10">
      <c r="F572" s="3"/>
      <c r="G572" s="3"/>
      <c r="H572" s="3"/>
      <c r="I572" s="3"/>
      <c r="J572" s="3"/>
    </row>
    <row r="573" ht="12.5" spans="6:10">
      <c r="F573" s="3"/>
      <c r="G573" s="3"/>
      <c r="H573" s="3"/>
      <c r="I573" s="3"/>
      <c r="J573" s="3"/>
    </row>
    <row r="574" ht="12.5" spans="6:10">
      <c r="F574" s="3"/>
      <c r="G574" s="3"/>
      <c r="H574" s="3"/>
      <c r="I574" s="3"/>
      <c r="J574" s="3"/>
    </row>
    <row r="575" ht="12.5" spans="6:10">
      <c r="F575" s="3"/>
      <c r="G575" s="3"/>
      <c r="H575" s="3"/>
      <c r="I575" s="3"/>
      <c r="J575" s="3"/>
    </row>
    <row r="576" ht="12.5" spans="6:10">
      <c r="F576" s="3"/>
      <c r="G576" s="3"/>
      <c r="H576" s="3"/>
      <c r="I576" s="3"/>
      <c r="J576" s="3"/>
    </row>
    <row r="577" ht="12.5" spans="6:10">
      <c r="F577" s="3"/>
      <c r="G577" s="3"/>
      <c r="H577" s="3"/>
      <c r="I577" s="3"/>
      <c r="J577" s="3"/>
    </row>
    <row r="578" ht="12.5" spans="6:10">
      <c r="F578" s="3"/>
      <c r="G578" s="3"/>
      <c r="H578" s="3"/>
      <c r="I578" s="3"/>
      <c r="J578" s="3"/>
    </row>
    <row r="579" ht="12.5" spans="6:10">
      <c r="F579" s="3"/>
      <c r="G579" s="3"/>
      <c r="H579" s="3"/>
      <c r="I579" s="3"/>
      <c r="J579" s="3"/>
    </row>
    <row r="580" ht="12.5" spans="6:10">
      <c r="F580" s="3"/>
      <c r="G580" s="3"/>
      <c r="H580" s="3"/>
      <c r="I580" s="3"/>
      <c r="J580" s="3"/>
    </row>
    <row r="581" ht="12.5" spans="6:10">
      <c r="F581" s="3"/>
      <c r="G581" s="3"/>
      <c r="H581" s="3"/>
      <c r="I581" s="3"/>
      <c r="J581" s="3"/>
    </row>
    <row r="582" ht="12.5" spans="6:10">
      <c r="F582" s="3"/>
      <c r="G582" s="3"/>
      <c r="H582" s="3"/>
      <c r="I582" s="3"/>
      <c r="J582" s="3"/>
    </row>
    <row r="583" ht="12.5" spans="6:10">
      <c r="F583" s="3"/>
      <c r="G583" s="3"/>
      <c r="H583" s="3"/>
      <c r="I583" s="3"/>
      <c r="J583" s="3"/>
    </row>
    <row r="584" ht="12.5" spans="6:10">
      <c r="F584" s="3"/>
      <c r="G584" s="3"/>
      <c r="H584" s="3"/>
      <c r="I584" s="3"/>
      <c r="J584" s="3"/>
    </row>
    <row r="585" ht="12.5" spans="6:10">
      <c r="F585" s="3"/>
      <c r="G585" s="3"/>
      <c r="H585" s="3"/>
      <c r="I585" s="3"/>
      <c r="J585" s="3"/>
    </row>
    <row r="586" ht="12.5" spans="6:10">
      <c r="F586" s="3"/>
      <c r="G586" s="3"/>
      <c r="H586" s="3"/>
      <c r="I586" s="3"/>
      <c r="J586" s="3"/>
    </row>
    <row r="587" ht="12.5" spans="6:10">
      <c r="F587" s="3"/>
      <c r="G587" s="3"/>
      <c r="H587" s="3"/>
      <c r="I587" s="3"/>
      <c r="J587" s="3"/>
    </row>
    <row r="588" ht="12.5" spans="6:10">
      <c r="F588" s="3"/>
      <c r="G588" s="3"/>
      <c r="H588" s="3"/>
      <c r="I588" s="3"/>
      <c r="J588" s="3"/>
    </row>
    <row r="589" ht="12.5" spans="6:10">
      <c r="F589" s="3"/>
      <c r="G589" s="3"/>
      <c r="H589" s="3"/>
      <c r="I589" s="3"/>
      <c r="J589" s="3"/>
    </row>
    <row r="590" ht="12.5" spans="6:10">
      <c r="F590" s="3"/>
      <c r="G590" s="3"/>
      <c r="H590" s="3"/>
      <c r="I590" s="3"/>
      <c r="J590" s="3"/>
    </row>
    <row r="591" ht="12.5" spans="6:10">
      <c r="F591" s="3"/>
      <c r="G591" s="3"/>
      <c r="H591" s="3"/>
      <c r="I591" s="3"/>
      <c r="J591" s="3"/>
    </row>
    <row r="592" ht="12.5" spans="6:10">
      <c r="F592" s="3"/>
      <c r="G592" s="3"/>
      <c r="H592" s="3"/>
      <c r="I592" s="3"/>
      <c r="J592" s="3"/>
    </row>
    <row r="593" ht="12.5" spans="6:10">
      <c r="F593" s="3"/>
      <c r="G593" s="3"/>
      <c r="H593" s="3"/>
      <c r="I593" s="3"/>
      <c r="J593" s="3"/>
    </row>
    <row r="594" ht="12.5" spans="6:10">
      <c r="F594" s="3"/>
      <c r="G594" s="3"/>
      <c r="H594" s="3"/>
      <c r="I594" s="3"/>
      <c r="J594" s="3"/>
    </row>
    <row r="595" ht="12.5" spans="6:10">
      <c r="F595" s="3"/>
      <c r="G595" s="3"/>
      <c r="H595" s="3"/>
      <c r="I595" s="3"/>
      <c r="J595" s="3"/>
    </row>
    <row r="596" ht="12.5" spans="6:10">
      <c r="F596" s="3"/>
      <c r="G596" s="3"/>
      <c r="H596" s="3"/>
      <c r="I596" s="3"/>
      <c r="J596" s="3"/>
    </row>
    <row r="597" ht="12.5" spans="6:10">
      <c r="F597" s="3"/>
      <c r="G597" s="3"/>
      <c r="H597" s="3"/>
      <c r="I597" s="3"/>
      <c r="J597" s="3"/>
    </row>
    <row r="598" ht="12.5" spans="6:10">
      <c r="F598" s="3"/>
      <c r="G598" s="3"/>
      <c r="H598" s="3"/>
      <c r="I598" s="3"/>
      <c r="J598" s="3"/>
    </row>
    <row r="599" ht="12.5" spans="6:10">
      <c r="F599" s="3"/>
      <c r="G599" s="3"/>
      <c r="H599" s="3"/>
      <c r="I599" s="3"/>
      <c r="J599" s="3"/>
    </row>
    <row r="600" ht="12.5" spans="6:10">
      <c r="F600" s="3"/>
      <c r="G600" s="3"/>
      <c r="H600" s="3"/>
      <c r="I600" s="3"/>
      <c r="J600" s="3"/>
    </row>
    <row r="601" ht="12.5" spans="6:10">
      <c r="F601" s="3"/>
      <c r="G601" s="3"/>
      <c r="H601" s="3"/>
      <c r="I601" s="3"/>
      <c r="J601" s="3"/>
    </row>
    <row r="602" ht="12.5" spans="6:10">
      <c r="F602" s="3"/>
      <c r="G602" s="3"/>
      <c r="H602" s="3"/>
      <c r="I602" s="3"/>
      <c r="J602" s="3"/>
    </row>
    <row r="603" ht="12.5" spans="6:10">
      <c r="F603" s="3"/>
      <c r="G603" s="3"/>
      <c r="H603" s="3"/>
      <c r="I603" s="3"/>
      <c r="J603" s="3"/>
    </row>
    <row r="604" ht="12.5" spans="6:10">
      <c r="F604" s="3"/>
      <c r="G604" s="3"/>
      <c r="H604" s="3"/>
      <c r="I604" s="3"/>
      <c r="J604" s="3"/>
    </row>
    <row r="605" ht="12.5" spans="6:10">
      <c r="F605" s="3"/>
      <c r="G605" s="3"/>
      <c r="H605" s="3"/>
      <c r="I605" s="3"/>
      <c r="J605" s="3"/>
    </row>
    <row r="606" ht="12.5" spans="6:10">
      <c r="F606" s="3"/>
      <c r="G606" s="3"/>
      <c r="H606" s="3"/>
      <c r="I606" s="3"/>
      <c r="J606" s="3"/>
    </row>
    <row r="607" ht="12.5" spans="6:10">
      <c r="F607" s="3"/>
      <c r="G607" s="3"/>
      <c r="H607" s="3"/>
      <c r="I607" s="3"/>
      <c r="J607" s="3"/>
    </row>
    <row r="608" ht="12.5" spans="6:10">
      <c r="F608" s="3"/>
      <c r="G608" s="3"/>
      <c r="H608" s="3"/>
      <c r="I608" s="3"/>
      <c r="J608" s="3"/>
    </row>
    <row r="609" ht="12.5" spans="6:10">
      <c r="F609" s="3"/>
      <c r="G609" s="3"/>
      <c r="H609" s="3"/>
      <c r="I609" s="3"/>
      <c r="J609" s="3"/>
    </row>
    <row r="610" ht="12.5" spans="6:10">
      <c r="F610" s="3"/>
      <c r="G610" s="3"/>
      <c r="H610" s="3"/>
      <c r="I610" s="3"/>
      <c r="J610" s="3"/>
    </row>
    <row r="611" ht="12.5" spans="6:10">
      <c r="F611" s="3"/>
      <c r="G611" s="3"/>
      <c r="H611" s="3"/>
      <c r="I611" s="3"/>
      <c r="J611" s="3"/>
    </row>
    <row r="612" ht="12.5" spans="6:10">
      <c r="F612" s="3"/>
      <c r="G612" s="3"/>
      <c r="H612" s="3"/>
      <c r="I612" s="3"/>
      <c r="J612" s="3"/>
    </row>
    <row r="613" ht="12.5" spans="6:10">
      <c r="F613" s="3"/>
      <c r="G613" s="3"/>
      <c r="H613" s="3"/>
      <c r="I613" s="3"/>
      <c r="J613" s="3"/>
    </row>
    <row r="614" ht="12.5" spans="6:10">
      <c r="F614" s="3"/>
      <c r="G614" s="3"/>
      <c r="H614" s="3"/>
      <c r="I614" s="3"/>
      <c r="J614" s="3"/>
    </row>
    <row r="615" ht="12.5" spans="6:10">
      <c r="F615" s="3"/>
      <c r="G615" s="3"/>
      <c r="H615" s="3"/>
      <c r="I615" s="3"/>
      <c r="J615" s="3"/>
    </row>
    <row r="616" ht="12.5" spans="6:10">
      <c r="F616" s="3"/>
      <c r="G616" s="3"/>
      <c r="H616" s="3"/>
      <c r="I616" s="3"/>
      <c r="J616" s="3"/>
    </row>
    <row r="617" ht="12.5" spans="6:10">
      <c r="F617" s="3"/>
      <c r="G617" s="3"/>
      <c r="H617" s="3"/>
      <c r="I617" s="3"/>
      <c r="J617" s="3"/>
    </row>
    <row r="618" ht="12.5" spans="6:10">
      <c r="F618" s="3"/>
      <c r="G618" s="3"/>
      <c r="H618" s="3"/>
      <c r="I618" s="3"/>
      <c r="J618" s="3"/>
    </row>
    <row r="619" ht="12.5" spans="6:10">
      <c r="F619" s="3"/>
      <c r="G619" s="3"/>
      <c r="H619" s="3"/>
      <c r="I619" s="3"/>
      <c r="J619" s="3"/>
    </row>
    <row r="620" ht="12.5" spans="6:10">
      <c r="F620" s="3"/>
      <c r="G620" s="3"/>
      <c r="H620" s="3"/>
      <c r="I620" s="3"/>
      <c r="J620" s="3"/>
    </row>
    <row r="621" ht="12.5" spans="6:10">
      <c r="F621" s="3"/>
      <c r="G621" s="3"/>
      <c r="H621" s="3"/>
      <c r="I621" s="3"/>
      <c r="J621" s="3"/>
    </row>
    <row r="622" ht="12.5" spans="6:10">
      <c r="F622" s="3"/>
      <c r="G622" s="3"/>
      <c r="H622" s="3"/>
      <c r="I622" s="3"/>
      <c r="J622" s="3"/>
    </row>
    <row r="623" ht="12.5" spans="6:10">
      <c r="F623" s="3"/>
      <c r="G623" s="3"/>
      <c r="H623" s="3"/>
      <c r="I623" s="3"/>
      <c r="J623" s="3"/>
    </row>
    <row r="624" ht="12.5" spans="6:10">
      <c r="F624" s="3"/>
      <c r="G624" s="3"/>
      <c r="H624" s="3"/>
      <c r="I624" s="3"/>
      <c r="J624" s="3"/>
    </row>
    <row r="625" ht="12.5" spans="6:10">
      <c r="F625" s="3"/>
      <c r="G625" s="3"/>
      <c r="H625" s="3"/>
      <c r="I625" s="3"/>
      <c r="J625" s="3"/>
    </row>
    <row r="626" ht="12.5" spans="6:10">
      <c r="F626" s="3"/>
      <c r="G626" s="3"/>
      <c r="H626" s="3"/>
      <c r="I626" s="3"/>
      <c r="J626" s="3"/>
    </row>
    <row r="627" ht="12.5" spans="6:10">
      <c r="F627" s="3"/>
      <c r="G627" s="3"/>
      <c r="H627" s="3"/>
      <c r="I627" s="3"/>
      <c r="J627" s="3"/>
    </row>
    <row r="628" ht="12.5" spans="6:10">
      <c r="F628" s="3"/>
      <c r="G628" s="3"/>
      <c r="H628" s="3"/>
      <c r="I628" s="3"/>
      <c r="J628" s="3"/>
    </row>
    <row r="629" ht="12.5" spans="6:10">
      <c r="F629" s="3"/>
      <c r="G629" s="3"/>
      <c r="H629" s="3"/>
      <c r="I629" s="3"/>
      <c r="J629" s="3"/>
    </row>
    <row r="630" ht="12.5" spans="6:10">
      <c r="F630" s="3"/>
      <c r="G630" s="3"/>
      <c r="H630" s="3"/>
      <c r="I630" s="3"/>
      <c r="J630" s="3"/>
    </row>
    <row r="631" ht="12.5" spans="6:10">
      <c r="F631" s="3"/>
      <c r="G631" s="3"/>
      <c r="H631" s="3"/>
      <c r="I631" s="3"/>
      <c r="J631" s="3"/>
    </row>
    <row r="632" ht="12.5" spans="6:10">
      <c r="F632" s="3"/>
      <c r="G632" s="3"/>
      <c r="H632" s="3"/>
      <c r="I632" s="3"/>
      <c r="J632" s="3"/>
    </row>
    <row r="633" ht="12.5" spans="6:10">
      <c r="F633" s="3"/>
      <c r="G633" s="3"/>
      <c r="H633" s="3"/>
      <c r="I633" s="3"/>
      <c r="J633" s="3"/>
    </row>
    <row r="634" ht="12.5" spans="6:10">
      <c r="F634" s="3"/>
      <c r="G634" s="3"/>
      <c r="H634" s="3"/>
      <c r="I634" s="3"/>
      <c r="J634" s="3"/>
    </row>
    <row r="635" ht="12.5" spans="6:10">
      <c r="F635" s="3"/>
      <c r="G635" s="3"/>
      <c r="H635" s="3"/>
      <c r="I635" s="3"/>
      <c r="J635" s="3"/>
    </row>
    <row r="636" ht="12.5" spans="6:10">
      <c r="F636" s="3"/>
      <c r="G636" s="3"/>
      <c r="H636" s="3"/>
      <c r="I636" s="3"/>
      <c r="J636" s="3"/>
    </row>
    <row r="637" ht="12.5" spans="6:10">
      <c r="F637" s="3"/>
      <c r="G637" s="3"/>
      <c r="H637" s="3"/>
      <c r="I637" s="3"/>
      <c r="J637" s="3"/>
    </row>
    <row r="638" ht="12.5" spans="6:10">
      <c r="F638" s="3"/>
      <c r="G638" s="3"/>
      <c r="H638" s="3"/>
      <c r="I638" s="3"/>
      <c r="J638" s="3"/>
    </row>
    <row r="639" ht="12.5" spans="6:10">
      <c r="F639" s="3"/>
      <c r="G639" s="3"/>
      <c r="H639" s="3"/>
      <c r="I639" s="3"/>
      <c r="J639" s="3"/>
    </row>
    <row r="640" ht="12.5" spans="6:10">
      <c r="F640" s="3"/>
      <c r="G640" s="3"/>
      <c r="H640" s="3"/>
      <c r="I640" s="3"/>
      <c r="J640" s="3"/>
    </row>
    <row r="641" ht="12.5" spans="6:10">
      <c r="F641" s="3"/>
      <c r="G641" s="3"/>
      <c r="H641" s="3"/>
      <c r="I641" s="3"/>
      <c r="J641" s="3"/>
    </row>
    <row r="642" ht="12.5" spans="6:10">
      <c r="F642" s="3"/>
      <c r="G642" s="3"/>
      <c r="H642" s="3"/>
      <c r="I642" s="3"/>
      <c r="J642" s="3"/>
    </row>
    <row r="643" ht="12.5" spans="6:10">
      <c r="F643" s="3"/>
      <c r="G643" s="3"/>
      <c r="H643" s="3"/>
      <c r="I643" s="3"/>
      <c r="J643" s="3"/>
    </row>
    <row r="644" ht="12.5" spans="6:10">
      <c r="F644" s="3"/>
      <c r="G644" s="3"/>
      <c r="H644" s="3"/>
      <c r="I644" s="3"/>
      <c r="J644" s="3"/>
    </row>
    <row r="645" ht="12.5" spans="6:10">
      <c r="F645" s="3"/>
      <c r="G645" s="3"/>
      <c r="H645" s="3"/>
      <c r="I645" s="3"/>
      <c r="J645" s="3"/>
    </row>
    <row r="646" ht="12.5" spans="6:10">
      <c r="F646" s="3"/>
      <c r="G646" s="3"/>
      <c r="H646" s="3"/>
      <c r="I646" s="3"/>
      <c r="J646" s="3"/>
    </row>
    <row r="647" ht="12.5" spans="6:10">
      <c r="F647" s="3"/>
      <c r="G647" s="3"/>
      <c r="H647" s="3"/>
      <c r="I647" s="3"/>
      <c r="J647" s="3"/>
    </row>
    <row r="648" ht="12.5" spans="6:10">
      <c r="F648" s="3"/>
      <c r="G648" s="3"/>
      <c r="H648" s="3"/>
      <c r="I648" s="3"/>
      <c r="J648" s="3"/>
    </row>
    <row r="649" ht="12.5" spans="6:10">
      <c r="F649" s="3"/>
      <c r="G649" s="3"/>
      <c r="H649" s="3"/>
      <c r="I649" s="3"/>
      <c r="J649" s="3"/>
    </row>
    <row r="650" ht="12.5" spans="6:10">
      <c r="F650" s="3"/>
      <c r="G650" s="3"/>
      <c r="H650" s="3"/>
      <c r="I650" s="3"/>
      <c r="J650" s="3"/>
    </row>
    <row r="651" ht="12.5" spans="6:10">
      <c r="F651" s="3"/>
      <c r="G651" s="3"/>
      <c r="H651" s="3"/>
      <c r="I651" s="3"/>
      <c r="J651" s="3"/>
    </row>
    <row r="652" ht="12.5" spans="6:10">
      <c r="F652" s="3"/>
      <c r="G652" s="3"/>
      <c r="H652" s="3"/>
      <c r="I652" s="3"/>
      <c r="J652" s="3"/>
    </row>
    <row r="653" ht="12.5" spans="6:10">
      <c r="F653" s="3"/>
      <c r="G653" s="3"/>
      <c r="H653" s="3"/>
      <c r="I653" s="3"/>
      <c r="J653" s="3"/>
    </row>
    <row r="654" ht="12.5" spans="6:10">
      <c r="F654" s="3"/>
      <c r="G654" s="3"/>
      <c r="H654" s="3"/>
      <c r="I654" s="3"/>
      <c r="J654" s="3"/>
    </row>
    <row r="655" ht="12.5" spans="6:10">
      <c r="F655" s="3"/>
      <c r="G655" s="3"/>
      <c r="H655" s="3"/>
      <c r="I655" s="3"/>
      <c r="J655" s="3"/>
    </row>
    <row r="656" ht="12.5" spans="6:10">
      <c r="F656" s="3"/>
      <c r="G656" s="3"/>
      <c r="H656" s="3"/>
      <c r="I656" s="3"/>
      <c r="J656" s="3"/>
    </row>
    <row r="657" ht="12.5" spans="6:10">
      <c r="F657" s="3"/>
      <c r="G657" s="3"/>
      <c r="H657" s="3"/>
      <c r="I657" s="3"/>
      <c r="J657" s="3"/>
    </row>
    <row r="658" ht="12.5" spans="6:10">
      <c r="F658" s="3"/>
      <c r="G658" s="3"/>
      <c r="H658" s="3"/>
      <c r="I658" s="3"/>
      <c r="J658" s="3"/>
    </row>
    <row r="659" ht="12.5" spans="6:10">
      <c r="F659" s="3"/>
      <c r="G659" s="3"/>
      <c r="H659" s="3"/>
      <c r="I659" s="3"/>
      <c r="J659" s="3"/>
    </row>
    <row r="660" ht="12.5" spans="6:10">
      <c r="F660" s="3"/>
      <c r="G660" s="3"/>
      <c r="H660" s="3"/>
      <c r="I660" s="3"/>
      <c r="J660" s="3"/>
    </row>
    <row r="661" ht="12.5" spans="6:10">
      <c r="F661" s="3"/>
      <c r="G661" s="3"/>
      <c r="H661" s="3"/>
      <c r="I661" s="3"/>
      <c r="J661" s="3"/>
    </row>
    <row r="662" ht="12.5" spans="6:10">
      <c r="F662" s="3"/>
      <c r="G662" s="3"/>
      <c r="H662" s="3"/>
      <c r="I662" s="3"/>
      <c r="J662" s="3"/>
    </row>
    <row r="663" ht="12.5" spans="6:10">
      <c r="F663" s="3"/>
      <c r="G663" s="3"/>
      <c r="H663" s="3"/>
      <c r="I663" s="3"/>
      <c r="J663" s="3"/>
    </row>
    <row r="664" ht="12.5" spans="6:10">
      <c r="F664" s="3"/>
      <c r="G664" s="3"/>
      <c r="H664" s="3"/>
      <c r="I664" s="3"/>
      <c r="J664" s="3"/>
    </row>
    <row r="665" ht="12.5" spans="6:10">
      <c r="F665" s="3"/>
      <c r="G665" s="3"/>
      <c r="H665" s="3"/>
      <c r="I665" s="3"/>
      <c r="J665" s="3"/>
    </row>
    <row r="666" ht="12.5" spans="6:10">
      <c r="F666" s="3"/>
      <c r="G666" s="3"/>
      <c r="H666" s="3"/>
      <c r="I666" s="3"/>
      <c r="J666" s="3"/>
    </row>
    <row r="667" ht="12.5" spans="6:10">
      <c r="F667" s="3"/>
      <c r="G667" s="3"/>
      <c r="H667" s="3"/>
      <c r="I667" s="3"/>
      <c r="J667" s="3"/>
    </row>
    <row r="668" ht="12.5" spans="6:10">
      <c r="F668" s="3"/>
      <c r="G668" s="3"/>
      <c r="H668" s="3"/>
      <c r="I668" s="3"/>
      <c r="J668" s="3"/>
    </row>
    <row r="669" ht="12.5" spans="6:10">
      <c r="F669" s="3"/>
      <c r="G669" s="3"/>
      <c r="H669" s="3"/>
      <c r="I669" s="3"/>
      <c r="J669" s="3"/>
    </row>
    <row r="670" ht="12.5" spans="6:10">
      <c r="F670" s="3"/>
      <c r="G670" s="3"/>
      <c r="H670" s="3"/>
      <c r="I670" s="3"/>
      <c r="J670" s="3"/>
    </row>
    <row r="671" ht="12.5" spans="6:10">
      <c r="F671" s="3"/>
      <c r="G671" s="3"/>
      <c r="H671" s="3"/>
      <c r="I671" s="3"/>
      <c r="J671" s="3"/>
    </row>
    <row r="672" ht="12.5" spans="6:10">
      <c r="F672" s="3"/>
      <c r="G672" s="3"/>
      <c r="H672" s="3"/>
      <c r="I672" s="3"/>
      <c r="J672" s="3"/>
    </row>
    <row r="673" ht="12.5" spans="6:10">
      <c r="F673" s="3"/>
      <c r="G673" s="3"/>
      <c r="H673" s="3"/>
      <c r="I673" s="3"/>
      <c r="J673" s="3"/>
    </row>
    <row r="674" ht="12.5" spans="6:10">
      <c r="F674" s="3"/>
      <c r="G674" s="3"/>
      <c r="H674" s="3"/>
      <c r="I674" s="3"/>
      <c r="J674" s="3"/>
    </row>
    <row r="675" ht="12.5" spans="6:10">
      <c r="F675" s="3"/>
      <c r="G675" s="3"/>
      <c r="H675" s="3"/>
      <c r="I675" s="3"/>
      <c r="J675" s="3"/>
    </row>
    <row r="676" ht="12.5" spans="6:10">
      <c r="F676" s="3"/>
      <c r="G676" s="3"/>
      <c r="H676" s="3"/>
      <c r="I676" s="3"/>
      <c r="J676" s="3"/>
    </row>
    <row r="677" ht="12.5" spans="6:10">
      <c r="F677" s="3"/>
      <c r="G677" s="3"/>
      <c r="H677" s="3"/>
      <c r="I677" s="3"/>
      <c r="J677" s="3"/>
    </row>
    <row r="678" ht="12.5" spans="6:10">
      <c r="F678" s="3"/>
      <c r="G678" s="3"/>
      <c r="H678" s="3"/>
      <c r="I678" s="3"/>
      <c r="J678" s="3"/>
    </row>
    <row r="679" ht="12.5" spans="6:10">
      <c r="F679" s="3"/>
      <c r="G679" s="3"/>
      <c r="H679" s="3"/>
      <c r="I679" s="3"/>
      <c r="J679" s="3"/>
    </row>
    <row r="680" ht="12.5" spans="6:10">
      <c r="F680" s="3"/>
      <c r="G680" s="3"/>
      <c r="H680" s="3"/>
      <c r="I680" s="3"/>
      <c r="J680" s="3"/>
    </row>
    <row r="681" ht="12.5" spans="6:10">
      <c r="F681" s="3"/>
      <c r="G681" s="3"/>
      <c r="H681" s="3"/>
      <c r="I681" s="3"/>
      <c r="J681" s="3"/>
    </row>
    <row r="682" ht="12.5" spans="6:10">
      <c r="F682" s="3"/>
      <c r="G682" s="3"/>
      <c r="H682" s="3"/>
      <c r="I682" s="3"/>
      <c r="J682" s="3"/>
    </row>
    <row r="683" ht="12.5" spans="6:10">
      <c r="F683" s="3"/>
      <c r="G683" s="3"/>
      <c r="H683" s="3"/>
      <c r="I683" s="3"/>
      <c r="J683" s="3"/>
    </row>
    <row r="684" ht="12.5" spans="6:10">
      <c r="F684" s="3"/>
      <c r="G684" s="3"/>
      <c r="H684" s="3"/>
      <c r="I684" s="3"/>
      <c r="J684" s="3"/>
    </row>
    <row r="685" ht="12.5" spans="6:10">
      <c r="F685" s="3"/>
      <c r="G685" s="3"/>
      <c r="H685" s="3"/>
      <c r="I685" s="3"/>
      <c r="J685" s="3"/>
    </row>
    <row r="686" ht="12.5" spans="6:10">
      <c r="F686" s="3"/>
      <c r="G686" s="3"/>
      <c r="H686" s="3"/>
      <c r="I686" s="3"/>
      <c r="J686" s="3"/>
    </row>
    <row r="687" ht="12.5" spans="6:10">
      <c r="F687" s="3"/>
      <c r="G687" s="3"/>
      <c r="H687" s="3"/>
      <c r="I687" s="3"/>
      <c r="J687" s="3"/>
    </row>
    <row r="688" ht="12.5" spans="6:10">
      <c r="F688" s="3"/>
      <c r="G688" s="3"/>
      <c r="H688" s="3"/>
      <c r="I688" s="3"/>
      <c r="J688" s="3"/>
    </row>
    <row r="689" ht="12.5" spans="6:10">
      <c r="F689" s="3"/>
      <c r="G689" s="3"/>
      <c r="H689" s="3"/>
      <c r="I689" s="3"/>
      <c r="J689" s="3"/>
    </row>
    <row r="690" ht="12.5" spans="6:10">
      <c r="F690" s="3"/>
      <c r="G690" s="3"/>
      <c r="H690" s="3"/>
      <c r="I690" s="3"/>
      <c r="J690" s="3"/>
    </row>
    <row r="691" ht="12.5" spans="6:10">
      <c r="F691" s="3"/>
      <c r="G691" s="3"/>
      <c r="H691" s="3"/>
      <c r="I691" s="3"/>
      <c r="J691" s="3"/>
    </row>
    <row r="692" ht="12.5" spans="6:10">
      <c r="F692" s="3"/>
      <c r="G692" s="3"/>
      <c r="H692" s="3"/>
      <c r="I692" s="3"/>
      <c r="J692" s="3"/>
    </row>
    <row r="693" ht="12.5" spans="6:10">
      <c r="F693" s="3"/>
      <c r="G693" s="3"/>
      <c r="H693" s="3"/>
      <c r="I693" s="3"/>
      <c r="J693" s="3"/>
    </row>
    <row r="694" ht="12.5" spans="6:10">
      <c r="F694" s="3"/>
      <c r="G694" s="3"/>
      <c r="H694" s="3"/>
      <c r="I694" s="3"/>
      <c r="J694" s="3"/>
    </row>
    <row r="695" ht="12.5" spans="6:10">
      <c r="F695" s="3"/>
      <c r="G695" s="3"/>
      <c r="H695" s="3"/>
      <c r="I695" s="3"/>
      <c r="J695" s="3"/>
    </row>
    <row r="696" ht="12.5" spans="6:10">
      <c r="F696" s="3"/>
      <c r="G696" s="3"/>
      <c r="H696" s="3"/>
      <c r="I696" s="3"/>
      <c r="J696" s="3"/>
    </row>
    <row r="697" ht="12.5" spans="6:10">
      <c r="F697" s="3"/>
      <c r="G697" s="3"/>
      <c r="H697" s="3"/>
      <c r="I697" s="3"/>
      <c r="J697" s="3"/>
    </row>
    <row r="698" ht="12.5" spans="6:10">
      <c r="F698" s="3"/>
      <c r="G698" s="3"/>
      <c r="H698" s="3"/>
      <c r="I698" s="3"/>
      <c r="J698" s="3"/>
    </row>
    <row r="699" ht="12.5" spans="6:10">
      <c r="F699" s="3"/>
      <c r="G699" s="3"/>
      <c r="H699" s="3"/>
      <c r="I699" s="3"/>
      <c r="J699" s="3"/>
    </row>
    <row r="700" ht="12.5" spans="6:10">
      <c r="F700" s="3"/>
      <c r="G700" s="3"/>
      <c r="H700" s="3"/>
      <c r="I700" s="3"/>
      <c r="J700" s="3"/>
    </row>
    <row r="701" ht="12.5" spans="6:10">
      <c r="F701" s="3"/>
      <c r="G701" s="3"/>
      <c r="H701" s="3"/>
      <c r="I701" s="3"/>
      <c r="J701" s="3"/>
    </row>
    <row r="702" ht="12.5" spans="6:10">
      <c r="F702" s="3"/>
      <c r="G702" s="3"/>
      <c r="H702" s="3"/>
      <c r="I702" s="3"/>
      <c r="J702" s="3"/>
    </row>
    <row r="703" ht="12.5" spans="6:10">
      <c r="F703" s="3"/>
      <c r="G703" s="3"/>
      <c r="H703" s="3"/>
      <c r="I703" s="3"/>
      <c r="J703" s="3"/>
    </row>
    <row r="704" ht="12.5" spans="6:10">
      <c r="F704" s="3"/>
      <c r="G704" s="3"/>
      <c r="H704" s="3"/>
      <c r="I704" s="3"/>
      <c r="J704" s="3"/>
    </row>
    <row r="705" ht="12.5" spans="6:10">
      <c r="F705" s="3"/>
      <c r="G705" s="3"/>
      <c r="H705" s="3"/>
      <c r="I705" s="3"/>
      <c r="J705" s="3"/>
    </row>
    <row r="706" ht="12.5" spans="6:10">
      <c r="F706" s="3"/>
      <c r="G706" s="3"/>
      <c r="H706" s="3"/>
      <c r="I706" s="3"/>
      <c r="J706" s="3"/>
    </row>
    <row r="707" ht="12.5" spans="6:10">
      <c r="F707" s="3"/>
      <c r="G707" s="3"/>
      <c r="H707" s="3"/>
      <c r="I707" s="3"/>
      <c r="J707" s="3"/>
    </row>
    <row r="708" ht="12.5" spans="6:10">
      <c r="F708" s="3"/>
      <c r="G708" s="3"/>
      <c r="H708" s="3"/>
      <c r="I708" s="3"/>
      <c r="J708" s="3"/>
    </row>
    <row r="709" ht="12.5" spans="6:10">
      <c r="F709" s="3"/>
      <c r="G709" s="3"/>
      <c r="H709" s="3"/>
      <c r="I709" s="3"/>
      <c r="J709" s="3"/>
    </row>
    <row r="710" ht="12.5" spans="6:10">
      <c r="F710" s="3"/>
      <c r="G710" s="3"/>
      <c r="H710" s="3"/>
      <c r="I710" s="3"/>
      <c r="J710" s="3"/>
    </row>
    <row r="711" ht="12.5" spans="6:10">
      <c r="F711" s="3"/>
      <c r="G711" s="3"/>
      <c r="H711" s="3"/>
      <c r="I711" s="3"/>
      <c r="J711" s="3"/>
    </row>
    <row r="712" ht="12.5" spans="6:10">
      <c r="F712" s="3"/>
      <c r="G712" s="3"/>
      <c r="H712" s="3"/>
      <c r="I712" s="3"/>
      <c r="J712" s="3"/>
    </row>
    <row r="713" ht="12.5" spans="6:10">
      <c r="F713" s="3"/>
      <c r="G713" s="3"/>
      <c r="H713" s="3"/>
      <c r="I713" s="3"/>
      <c r="J713" s="3"/>
    </row>
    <row r="714" ht="12.5" spans="6:10">
      <c r="F714" s="3"/>
      <c r="G714" s="3"/>
      <c r="H714" s="3"/>
      <c r="I714" s="3"/>
      <c r="J714" s="3"/>
    </row>
    <row r="715" ht="12.5" spans="6:10">
      <c r="F715" s="3"/>
      <c r="G715" s="3"/>
      <c r="H715" s="3"/>
      <c r="I715" s="3"/>
      <c r="J715" s="3"/>
    </row>
    <row r="716" ht="12.5" spans="6:10">
      <c r="F716" s="3"/>
      <c r="G716" s="3"/>
      <c r="H716" s="3"/>
      <c r="I716" s="3"/>
      <c r="J716" s="3"/>
    </row>
    <row r="717" ht="12.5" spans="6:10">
      <c r="F717" s="3"/>
      <c r="G717" s="3"/>
      <c r="H717" s="3"/>
      <c r="I717" s="3"/>
      <c r="J717" s="3"/>
    </row>
    <row r="718" ht="12.5" spans="6:10">
      <c r="F718" s="3"/>
      <c r="G718" s="3"/>
      <c r="H718" s="3"/>
      <c r="I718" s="3"/>
      <c r="J718" s="3"/>
    </row>
    <row r="719" ht="12.5" spans="6:10">
      <c r="F719" s="3"/>
      <c r="G719" s="3"/>
      <c r="H719" s="3"/>
      <c r="I719" s="3"/>
      <c r="J719" s="3"/>
    </row>
    <row r="720" ht="12.5" spans="6:10">
      <c r="F720" s="3"/>
      <c r="G720" s="3"/>
      <c r="H720" s="3"/>
      <c r="I720" s="3"/>
      <c r="J720" s="3"/>
    </row>
    <row r="721" ht="12.5" spans="6:10">
      <c r="F721" s="3"/>
      <c r="G721" s="3"/>
      <c r="H721" s="3"/>
      <c r="I721" s="3"/>
      <c r="J721" s="3"/>
    </row>
    <row r="722" ht="12.5" spans="6:10">
      <c r="F722" s="3"/>
      <c r="G722" s="3"/>
      <c r="H722" s="3"/>
      <c r="I722" s="3"/>
      <c r="J722" s="3"/>
    </row>
    <row r="723" ht="12.5" spans="6:10">
      <c r="F723" s="3"/>
      <c r="G723" s="3"/>
      <c r="H723" s="3"/>
      <c r="I723" s="3"/>
      <c r="J723" s="3"/>
    </row>
    <row r="724" ht="12.5" spans="6:10">
      <c r="F724" s="3"/>
      <c r="G724" s="3"/>
      <c r="H724" s="3"/>
      <c r="I724" s="3"/>
      <c r="J724" s="3"/>
    </row>
    <row r="725" ht="12.5" spans="6:10">
      <c r="F725" s="3"/>
      <c r="G725" s="3"/>
      <c r="H725" s="3"/>
      <c r="I725" s="3"/>
      <c r="J725" s="3"/>
    </row>
    <row r="726" ht="12.5" spans="6:10">
      <c r="F726" s="3"/>
      <c r="G726" s="3"/>
      <c r="H726" s="3"/>
      <c r="I726" s="3"/>
      <c r="J726" s="3"/>
    </row>
    <row r="727" ht="12.5" spans="6:10">
      <c r="F727" s="3"/>
      <c r="G727" s="3"/>
      <c r="H727" s="3"/>
      <c r="I727" s="3"/>
      <c r="J727" s="3"/>
    </row>
    <row r="728" ht="12.5" spans="6:10">
      <c r="F728" s="3"/>
      <c r="G728" s="3"/>
      <c r="H728" s="3"/>
      <c r="I728" s="3"/>
      <c r="J728" s="3"/>
    </row>
    <row r="729" ht="12.5" spans="6:10">
      <c r="F729" s="3"/>
      <c r="G729" s="3"/>
      <c r="H729" s="3"/>
      <c r="I729" s="3"/>
      <c r="J729" s="3"/>
    </row>
    <row r="730" ht="12.5" spans="6:10">
      <c r="F730" s="3"/>
      <c r="G730" s="3"/>
      <c r="H730" s="3"/>
      <c r="I730" s="3"/>
      <c r="J730" s="3"/>
    </row>
    <row r="731" ht="12.5" spans="6:10">
      <c r="F731" s="3"/>
      <c r="G731" s="3"/>
      <c r="H731" s="3"/>
      <c r="I731" s="3"/>
      <c r="J731" s="3"/>
    </row>
    <row r="732" ht="12.5" spans="6:10">
      <c r="F732" s="3"/>
      <c r="G732" s="3"/>
      <c r="H732" s="3"/>
      <c r="I732" s="3"/>
      <c r="J732" s="3"/>
    </row>
    <row r="733" ht="12.5" spans="6:10">
      <c r="F733" s="3"/>
      <c r="G733" s="3"/>
      <c r="H733" s="3"/>
      <c r="I733" s="3"/>
      <c r="J733" s="3"/>
    </row>
    <row r="734" ht="12.5" spans="6:10">
      <c r="F734" s="3"/>
      <c r="G734" s="3"/>
      <c r="H734" s="3"/>
      <c r="I734" s="3"/>
      <c r="J734" s="3"/>
    </row>
    <row r="735" ht="12.5" spans="6:10">
      <c r="F735" s="3"/>
      <c r="G735" s="3"/>
      <c r="H735" s="3"/>
      <c r="I735" s="3"/>
      <c r="J735" s="3"/>
    </row>
    <row r="736" ht="12.5" spans="6:10">
      <c r="F736" s="3"/>
      <c r="G736" s="3"/>
      <c r="H736" s="3"/>
      <c r="I736" s="3"/>
      <c r="J736" s="3"/>
    </row>
    <row r="737" ht="12.5" spans="6:10">
      <c r="F737" s="3"/>
      <c r="G737" s="3"/>
      <c r="H737" s="3"/>
      <c r="I737" s="3"/>
      <c r="J737" s="3"/>
    </row>
    <row r="738" ht="12.5" spans="6:10">
      <c r="F738" s="3"/>
      <c r="G738" s="3"/>
      <c r="H738" s="3"/>
      <c r="I738" s="3"/>
      <c r="J738" s="3"/>
    </row>
    <row r="739" ht="12.5" spans="6:10">
      <c r="F739" s="3"/>
      <c r="G739" s="3"/>
      <c r="H739" s="3"/>
      <c r="I739" s="3"/>
      <c r="J739" s="3"/>
    </row>
    <row r="740" ht="12.5" spans="6:10">
      <c r="F740" s="3"/>
      <c r="G740" s="3"/>
      <c r="H740" s="3"/>
      <c r="I740" s="3"/>
      <c r="J740" s="3"/>
    </row>
    <row r="741" ht="12.5" spans="6:10">
      <c r="F741" s="3"/>
      <c r="G741" s="3"/>
      <c r="H741" s="3"/>
      <c r="I741" s="3"/>
      <c r="J741" s="3"/>
    </row>
    <row r="742" ht="12.5" spans="6:10">
      <c r="F742" s="3"/>
      <c r="G742" s="3"/>
      <c r="H742" s="3"/>
      <c r="I742" s="3"/>
      <c r="J742" s="3"/>
    </row>
    <row r="743" ht="12.5" spans="6:10">
      <c r="F743" s="3"/>
      <c r="G743" s="3"/>
      <c r="H743" s="3"/>
      <c r="I743" s="3"/>
      <c r="J743" s="3"/>
    </row>
    <row r="744" ht="12.5" spans="6:10">
      <c r="F744" s="3"/>
      <c r="G744" s="3"/>
      <c r="H744" s="3"/>
      <c r="I744" s="3"/>
      <c r="J744" s="3"/>
    </row>
    <row r="745" ht="12.5" spans="6:10">
      <c r="F745" s="3"/>
      <c r="G745" s="3"/>
      <c r="H745" s="3"/>
      <c r="I745" s="3"/>
      <c r="J745" s="3"/>
    </row>
    <row r="746" ht="12.5" spans="6:10">
      <c r="F746" s="3"/>
      <c r="G746" s="3"/>
      <c r="H746" s="3"/>
      <c r="I746" s="3"/>
      <c r="J746" s="3"/>
    </row>
    <row r="747" ht="12.5" spans="6:10">
      <c r="F747" s="3"/>
      <c r="G747" s="3"/>
      <c r="H747" s="3"/>
      <c r="I747" s="3"/>
      <c r="J747" s="3"/>
    </row>
    <row r="748" ht="12.5" spans="6:10">
      <c r="F748" s="3"/>
      <c r="G748" s="3"/>
      <c r="H748" s="3"/>
      <c r="I748" s="3"/>
      <c r="J748" s="3"/>
    </row>
    <row r="749" ht="12.5" spans="6:10">
      <c r="F749" s="3"/>
      <c r="G749" s="3"/>
      <c r="H749" s="3"/>
      <c r="I749" s="3"/>
      <c r="J749" s="3"/>
    </row>
    <row r="750" ht="12.5" spans="6:10">
      <c r="F750" s="3"/>
      <c r="G750" s="3"/>
      <c r="H750" s="3"/>
      <c r="I750" s="3"/>
      <c r="J750" s="3"/>
    </row>
    <row r="751" ht="12.5" spans="6:10">
      <c r="F751" s="3"/>
      <c r="G751" s="3"/>
      <c r="H751" s="3"/>
      <c r="I751" s="3"/>
      <c r="J751" s="3"/>
    </row>
    <row r="752" ht="12.5" spans="6:10">
      <c r="F752" s="3"/>
      <c r="G752" s="3"/>
      <c r="H752" s="3"/>
      <c r="I752" s="3"/>
      <c r="J752" s="3"/>
    </row>
    <row r="753" ht="12.5" spans="6:10">
      <c r="F753" s="3"/>
      <c r="G753" s="3"/>
      <c r="H753" s="3"/>
      <c r="I753" s="3"/>
      <c r="J753" s="3"/>
    </row>
    <row r="754" ht="12.5" spans="6:10">
      <c r="F754" s="3"/>
      <c r="G754" s="3"/>
      <c r="H754" s="3"/>
      <c r="I754" s="3"/>
      <c r="J754" s="3"/>
    </row>
    <row r="755" ht="12.5" spans="6:10">
      <c r="F755" s="3"/>
      <c r="G755" s="3"/>
      <c r="H755" s="3"/>
      <c r="I755" s="3"/>
      <c r="J755" s="3"/>
    </row>
    <row r="756" ht="12.5" spans="6:10">
      <c r="F756" s="3"/>
      <c r="G756" s="3"/>
      <c r="H756" s="3"/>
      <c r="I756" s="3"/>
      <c r="J756" s="3"/>
    </row>
    <row r="757" ht="12.5" spans="6:10">
      <c r="F757" s="3"/>
      <c r="G757" s="3"/>
      <c r="H757" s="3"/>
      <c r="I757" s="3"/>
      <c r="J757" s="3"/>
    </row>
    <row r="758" ht="12.5" spans="6:10">
      <c r="F758" s="3"/>
      <c r="G758" s="3"/>
      <c r="H758" s="3"/>
      <c r="I758" s="3"/>
      <c r="J758" s="3"/>
    </row>
    <row r="759" ht="12.5" spans="6:10">
      <c r="F759" s="3"/>
      <c r="G759" s="3"/>
      <c r="H759" s="3"/>
      <c r="I759" s="3"/>
      <c r="J759" s="3"/>
    </row>
    <row r="760" ht="12.5" spans="6:10">
      <c r="F760" s="3"/>
      <c r="G760" s="3"/>
      <c r="H760" s="3"/>
      <c r="I760" s="3"/>
      <c r="J760" s="3"/>
    </row>
    <row r="761" ht="12.5" spans="6:10">
      <c r="F761" s="3"/>
      <c r="G761" s="3"/>
      <c r="H761" s="3"/>
      <c r="I761" s="3"/>
      <c r="J761" s="3"/>
    </row>
    <row r="762" ht="12.5" spans="6:10">
      <c r="F762" s="3"/>
      <c r="G762" s="3"/>
      <c r="H762" s="3"/>
      <c r="I762" s="3"/>
      <c r="J762" s="3"/>
    </row>
    <row r="763" ht="12.5" spans="6:10">
      <c r="F763" s="3"/>
      <c r="G763" s="3"/>
      <c r="H763" s="3"/>
      <c r="I763" s="3"/>
      <c r="J763" s="3"/>
    </row>
    <row r="764" ht="12.5" spans="6:10">
      <c r="F764" s="3"/>
      <c r="G764" s="3"/>
      <c r="H764" s="3"/>
      <c r="I764" s="3"/>
      <c r="J764" s="3"/>
    </row>
    <row r="765" ht="12.5" spans="6:10">
      <c r="F765" s="3"/>
      <c r="G765" s="3"/>
      <c r="H765" s="3"/>
      <c r="I765" s="3"/>
      <c r="J765" s="3"/>
    </row>
    <row r="766" ht="12.5" spans="6:10">
      <c r="F766" s="3"/>
      <c r="G766" s="3"/>
      <c r="H766" s="3"/>
      <c r="I766" s="3"/>
      <c r="J766" s="3"/>
    </row>
    <row r="767" ht="12.5" spans="6:10">
      <c r="F767" s="3"/>
      <c r="G767" s="3"/>
      <c r="H767" s="3"/>
      <c r="I767" s="3"/>
      <c r="J767" s="3"/>
    </row>
    <row r="768" ht="12.5" spans="6:10">
      <c r="F768" s="3"/>
      <c r="G768" s="3"/>
      <c r="H768" s="3"/>
      <c r="I768" s="3"/>
      <c r="J768" s="3"/>
    </row>
    <row r="769" ht="12.5" spans="6:10">
      <c r="F769" s="3"/>
      <c r="G769" s="3"/>
      <c r="H769" s="3"/>
      <c r="I769" s="3"/>
      <c r="J769" s="3"/>
    </row>
    <row r="770" ht="12.5" spans="6:10">
      <c r="F770" s="3"/>
      <c r="G770" s="3"/>
      <c r="H770" s="3"/>
      <c r="I770" s="3"/>
      <c r="J770" s="3"/>
    </row>
    <row r="771" ht="12.5" spans="6:10">
      <c r="F771" s="3"/>
      <c r="G771" s="3"/>
      <c r="H771" s="3"/>
      <c r="I771" s="3"/>
      <c r="J771" s="3"/>
    </row>
    <row r="772" ht="12.5" spans="6:10">
      <c r="F772" s="3"/>
      <c r="G772" s="3"/>
      <c r="H772" s="3"/>
      <c r="I772" s="3"/>
      <c r="J772" s="3"/>
    </row>
    <row r="773" ht="12.5" spans="6:10">
      <c r="F773" s="3"/>
      <c r="G773" s="3"/>
      <c r="H773" s="3"/>
      <c r="I773" s="3"/>
      <c r="J773" s="3"/>
    </row>
    <row r="774" ht="12.5" spans="6:10">
      <c r="F774" s="3"/>
      <c r="G774" s="3"/>
      <c r="H774" s="3"/>
      <c r="I774" s="3"/>
      <c r="J774" s="3"/>
    </row>
    <row r="775" ht="12.5" spans="6:10">
      <c r="F775" s="3"/>
      <c r="G775" s="3"/>
      <c r="H775" s="3"/>
      <c r="I775" s="3"/>
      <c r="J775" s="3"/>
    </row>
    <row r="776" ht="12.5" spans="6:10">
      <c r="F776" s="3"/>
      <c r="G776" s="3"/>
      <c r="H776" s="3"/>
      <c r="I776" s="3"/>
      <c r="J776" s="3"/>
    </row>
    <row r="777" ht="12.5" spans="6:10">
      <c r="F777" s="3"/>
      <c r="G777" s="3"/>
      <c r="H777" s="3"/>
      <c r="I777" s="3"/>
      <c r="J777" s="3"/>
    </row>
    <row r="778" ht="12.5" spans="6:10">
      <c r="F778" s="3"/>
      <c r="G778" s="3"/>
      <c r="H778" s="3"/>
      <c r="I778" s="3"/>
      <c r="J778" s="3"/>
    </row>
    <row r="779" ht="12.5" spans="6:10">
      <c r="F779" s="3"/>
      <c r="G779" s="3"/>
      <c r="H779" s="3"/>
      <c r="I779" s="3"/>
      <c r="J779" s="3"/>
    </row>
    <row r="780" ht="12.5" spans="6:10">
      <c r="F780" s="3"/>
      <c r="G780" s="3"/>
      <c r="H780" s="3"/>
      <c r="I780" s="3"/>
      <c r="J780" s="3"/>
    </row>
    <row r="781" ht="12.5" spans="6:10">
      <c r="F781" s="3"/>
      <c r="G781" s="3"/>
      <c r="H781" s="3"/>
      <c r="I781" s="3"/>
      <c r="J781" s="3"/>
    </row>
    <row r="782" ht="12.5" spans="6:10">
      <c r="F782" s="3"/>
      <c r="G782" s="3"/>
      <c r="H782" s="3"/>
      <c r="I782" s="3"/>
      <c r="J782" s="3"/>
    </row>
    <row r="783" ht="12.5" spans="6:10">
      <c r="F783" s="3"/>
      <c r="G783" s="3"/>
      <c r="H783" s="3"/>
      <c r="I783" s="3"/>
      <c r="J783" s="3"/>
    </row>
    <row r="784" ht="12.5" spans="6:10">
      <c r="F784" s="3"/>
      <c r="G784" s="3"/>
      <c r="H784" s="3"/>
      <c r="I784" s="3"/>
      <c r="J784" s="3"/>
    </row>
    <row r="785" ht="12.5" spans="6:10">
      <c r="F785" s="3"/>
      <c r="G785" s="3"/>
      <c r="H785" s="3"/>
      <c r="I785" s="3"/>
      <c r="J785" s="3"/>
    </row>
    <row r="786" ht="12.5" spans="6:10">
      <c r="F786" s="3"/>
      <c r="G786" s="3"/>
      <c r="H786" s="3"/>
      <c r="I786" s="3"/>
      <c r="J786" s="3"/>
    </row>
    <row r="787" ht="12.5" spans="6:10">
      <c r="F787" s="3"/>
      <c r="G787" s="3"/>
      <c r="H787" s="3"/>
      <c r="I787" s="3"/>
      <c r="J787" s="3"/>
    </row>
    <row r="788" ht="12.5" spans="6:10">
      <c r="F788" s="3"/>
      <c r="G788" s="3"/>
      <c r="H788" s="3"/>
      <c r="I788" s="3"/>
      <c r="J788" s="3"/>
    </row>
    <row r="789" ht="12.5" spans="6:10">
      <c r="F789" s="3"/>
      <c r="G789" s="3"/>
      <c r="H789" s="3"/>
      <c r="I789" s="3"/>
      <c r="J789" s="3"/>
    </row>
    <row r="790" ht="12.5" spans="6:10">
      <c r="F790" s="3"/>
      <c r="G790" s="3"/>
      <c r="H790" s="3"/>
      <c r="I790" s="3"/>
      <c r="J790" s="3"/>
    </row>
    <row r="791" ht="12.5" spans="6:10">
      <c r="F791" s="3"/>
      <c r="G791" s="3"/>
      <c r="H791" s="3"/>
      <c r="I791" s="3"/>
      <c r="J791" s="3"/>
    </row>
    <row r="792" ht="12.5" spans="6:10">
      <c r="F792" s="3"/>
      <c r="G792" s="3"/>
      <c r="H792" s="3"/>
      <c r="I792" s="3"/>
      <c r="J792" s="3"/>
    </row>
    <row r="793" ht="12.5" spans="6:10">
      <c r="F793" s="3"/>
      <c r="G793" s="3"/>
      <c r="H793" s="3"/>
      <c r="I793" s="3"/>
      <c r="J793" s="3"/>
    </row>
    <row r="794" ht="12.5" spans="6:10">
      <c r="F794" s="3"/>
      <c r="G794" s="3"/>
      <c r="H794" s="3"/>
      <c r="I794" s="3"/>
      <c r="J794" s="3"/>
    </row>
    <row r="795" ht="12.5" spans="6:10">
      <c r="F795" s="3"/>
      <c r="G795" s="3"/>
      <c r="H795" s="3"/>
      <c r="I795" s="3"/>
      <c r="J795" s="3"/>
    </row>
    <row r="796" ht="12.5" spans="6:10">
      <c r="F796" s="3"/>
      <c r="G796" s="3"/>
      <c r="H796" s="3"/>
      <c r="I796" s="3"/>
      <c r="J796" s="3"/>
    </row>
    <row r="797" ht="12.5" spans="6:10">
      <c r="F797" s="3"/>
      <c r="G797" s="3"/>
      <c r="H797" s="3"/>
      <c r="I797" s="3"/>
      <c r="J797" s="3"/>
    </row>
    <row r="798" ht="12.5" spans="6:10">
      <c r="F798" s="3"/>
      <c r="G798" s="3"/>
      <c r="H798" s="3"/>
      <c r="I798" s="3"/>
      <c r="J798" s="3"/>
    </row>
    <row r="799" ht="12.5" spans="6:10">
      <c r="F799" s="3"/>
      <c r="G799" s="3"/>
      <c r="H799" s="3"/>
      <c r="I799" s="3"/>
      <c r="J799" s="3"/>
    </row>
    <row r="800" ht="12.5" spans="6:10">
      <c r="F800" s="3"/>
      <c r="G800" s="3"/>
      <c r="H800" s="3"/>
      <c r="I800" s="3"/>
      <c r="J800" s="3"/>
    </row>
    <row r="801" ht="12.5" spans="6:10">
      <c r="F801" s="3"/>
      <c r="G801" s="3"/>
      <c r="H801" s="3"/>
      <c r="I801" s="3"/>
      <c r="J801" s="3"/>
    </row>
    <row r="802" ht="12.5" spans="6:10">
      <c r="F802" s="3"/>
      <c r="G802" s="3"/>
      <c r="H802" s="3"/>
      <c r="I802" s="3"/>
      <c r="J802" s="3"/>
    </row>
    <row r="803" ht="12.5" spans="6:10">
      <c r="F803" s="3"/>
      <c r="G803" s="3"/>
      <c r="H803" s="3"/>
      <c r="I803" s="3"/>
      <c r="J803" s="3"/>
    </row>
    <row r="804" ht="12.5" spans="6:10">
      <c r="F804" s="3"/>
      <c r="G804" s="3"/>
      <c r="H804" s="3"/>
      <c r="I804" s="3"/>
      <c r="J804" s="3"/>
    </row>
    <row r="805" ht="12.5" spans="6:10">
      <c r="F805" s="3"/>
      <c r="G805" s="3"/>
      <c r="H805" s="3"/>
      <c r="I805" s="3"/>
      <c r="J805" s="3"/>
    </row>
    <row r="806" ht="12.5" spans="6:10">
      <c r="F806" s="3"/>
      <c r="G806" s="3"/>
      <c r="H806" s="3"/>
      <c r="I806" s="3"/>
      <c r="J806" s="3"/>
    </row>
    <row r="807" ht="12.5" spans="6:10">
      <c r="F807" s="3"/>
      <c r="G807" s="3"/>
      <c r="H807" s="3"/>
      <c r="I807" s="3"/>
      <c r="J807" s="3"/>
    </row>
    <row r="808" ht="12.5" spans="6:10">
      <c r="F808" s="3"/>
      <c r="G808" s="3"/>
      <c r="H808" s="3"/>
      <c r="I808" s="3"/>
      <c r="J808" s="3"/>
    </row>
    <row r="809" ht="12.5" spans="6:10">
      <c r="F809" s="3"/>
      <c r="G809" s="3"/>
      <c r="H809" s="3"/>
      <c r="I809" s="3"/>
      <c r="J809" s="3"/>
    </row>
    <row r="810" ht="12.5" spans="6:10">
      <c r="F810" s="3"/>
      <c r="G810" s="3"/>
      <c r="H810" s="3"/>
      <c r="I810" s="3"/>
      <c r="J810" s="3"/>
    </row>
    <row r="811" ht="12.5" spans="6:10">
      <c r="F811" s="3"/>
      <c r="G811" s="3"/>
      <c r="H811" s="3"/>
      <c r="I811" s="3"/>
      <c r="J811" s="3"/>
    </row>
    <row r="812" ht="12.5" spans="6:10">
      <c r="F812" s="3"/>
      <c r="G812" s="3"/>
      <c r="H812" s="3"/>
      <c r="I812" s="3"/>
      <c r="J812" s="3"/>
    </row>
    <row r="813" ht="12.5" spans="6:10">
      <c r="F813" s="3"/>
      <c r="G813" s="3"/>
      <c r="H813" s="3"/>
      <c r="I813" s="3"/>
      <c r="J813" s="3"/>
    </row>
    <row r="814" ht="12.5" spans="6:10">
      <c r="F814" s="3"/>
      <c r="G814" s="3"/>
      <c r="H814" s="3"/>
      <c r="I814" s="3"/>
      <c r="J814" s="3"/>
    </row>
    <row r="815" ht="12.5" spans="6:10">
      <c r="F815" s="3"/>
      <c r="G815" s="3"/>
      <c r="H815" s="3"/>
      <c r="I815" s="3"/>
      <c r="J815" s="3"/>
    </row>
    <row r="816" ht="12.5" spans="6:10">
      <c r="F816" s="3"/>
      <c r="G816" s="3"/>
      <c r="H816" s="3"/>
      <c r="I816" s="3"/>
      <c r="J816" s="3"/>
    </row>
    <row r="817" ht="12.5" spans="6:10">
      <c r="F817" s="3"/>
      <c r="G817" s="3"/>
      <c r="H817" s="3"/>
      <c r="I817" s="3"/>
      <c r="J817" s="3"/>
    </row>
    <row r="818" ht="12.5" spans="6:10">
      <c r="F818" s="3"/>
      <c r="G818" s="3"/>
      <c r="H818" s="3"/>
      <c r="I818" s="3"/>
      <c r="J818" s="3"/>
    </row>
    <row r="819" ht="12.5" spans="6:10">
      <c r="F819" s="3"/>
      <c r="G819" s="3"/>
      <c r="H819" s="3"/>
      <c r="I819" s="3"/>
      <c r="J819" s="3"/>
    </row>
    <row r="820" ht="12.5" spans="6:10">
      <c r="F820" s="3"/>
      <c r="G820" s="3"/>
      <c r="H820" s="3"/>
      <c r="I820" s="3"/>
      <c r="J820" s="3"/>
    </row>
    <row r="821" ht="12.5" spans="6:10">
      <c r="F821" s="3"/>
      <c r="G821" s="3"/>
      <c r="H821" s="3"/>
      <c r="I821" s="3"/>
      <c r="J821" s="3"/>
    </row>
    <row r="822" ht="12.5" spans="6:10">
      <c r="F822" s="3"/>
      <c r="G822" s="3"/>
      <c r="H822" s="3"/>
      <c r="I822" s="3"/>
      <c r="J822" s="3"/>
    </row>
    <row r="823" ht="12.5" spans="6:10">
      <c r="F823" s="3"/>
      <c r="G823" s="3"/>
      <c r="H823" s="3"/>
      <c r="I823" s="3"/>
      <c r="J823" s="3"/>
    </row>
    <row r="824" ht="12.5" spans="6:10">
      <c r="F824" s="3"/>
      <c r="G824" s="3"/>
      <c r="H824" s="3"/>
      <c r="I824" s="3"/>
      <c r="J824" s="3"/>
    </row>
    <row r="825" ht="12.5" spans="6:10">
      <c r="F825" s="3"/>
      <c r="G825" s="3"/>
      <c r="H825" s="3"/>
      <c r="I825" s="3"/>
      <c r="J825" s="3"/>
    </row>
    <row r="826" ht="12.5" spans="6:10">
      <c r="F826" s="3"/>
      <c r="G826" s="3"/>
      <c r="H826" s="3"/>
      <c r="I826" s="3"/>
      <c r="J826" s="3"/>
    </row>
    <row r="827" ht="12.5" spans="6:10">
      <c r="F827" s="3"/>
      <c r="G827" s="3"/>
      <c r="H827" s="3"/>
      <c r="I827" s="3"/>
      <c r="J827" s="3"/>
    </row>
    <row r="828" ht="12.5" spans="6:10">
      <c r="F828" s="3"/>
      <c r="G828" s="3"/>
      <c r="H828" s="3"/>
      <c r="I828" s="3"/>
      <c r="J828" s="3"/>
    </row>
    <row r="829" ht="12.5" spans="6:10">
      <c r="F829" s="3"/>
      <c r="G829" s="3"/>
      <c r="H829" s="3"/>
      <c r="I829" s="3"/>
      <c r="J829" s="3"/>
    </row>
    <row r="830" ht="12.5" spans="6:10">
      <c r="F830" s="3"/>
      <c r="G830" s="3"/>
      <c r="H830" s="3"/>
      <c r="I830" s="3"/>
      <c r="J830" s="3"/>
    </row>
    <row r="831" ht="12.5" spans="6:10">
      <c r="F831" s="3"/>
      <c r="G831" s="3"/>
      <c r="H831" s="3"/>
      <c r="I831" s="3"/>
      <c r="J831" s="3"/>
    </row>
    <row r="832" ht="12.5" spans="6:10">
      <c r="F832" s="3"/>
      <c r="G832" s="3"/>
      <c r="H832" s="3"/>
      <c r="I832" s="3"/>
      <c r="J832" s="3"/>
    </row>
    <row r="833" ht="12.5" spans="6:10">
      <c r="F833" s="3"/>
      <c r="G833" s="3"/>
      <c r="H833" s="3"/>
      <c r="I833" s="3"/>
      <c r="J833" s="3"/>
    </row>
    <row r="834" ht="12.5" spans="6:10">
      <c r="F834" s="3"/>
      <c r="G834" s="3"/>
      <c r="H834" s="3"/>
      <c r="I834" s="3"/>
      <c r="J834" s="3"/>
    </row>
    <row r="835" ht="12.5" spans="6:10">
      <c r="F835" s="3"/>
      <c r="G835" s="3"/>
      <c r="H835" s="3"/>
      <c r="I835" s="3"/>
      <c r="J835" s="3"/>
    </row>
    <row r="836" ht="12.5" spans="6:10">
      <c r="F836" s="3"/>
      <c r="G836" s="3"/>
      <c r="H836" s="3"/>
      <c r="I836" s="3"/>
      <c r="J836" s="3"/>
    </row>
    <row r="837" ht="12.5" spans="6:10">
      <c r="F837" s="3"/>
      <c r="G837" s="3"/>
      <c r="H837" s="3"/>
      <c r="I837" s="3"/>
      <c r="J837" s="3"/>
    </row>
    <row r="838" ht="12.5" spans="6:10">
      <c r="F838" s="3"/>
      <c r="G838" s="3"/>
      <c r="H838" s="3"/>
      <c r="I838" s="3"/>
      <c r="J838" s="3"/>
    </row>
    <row r="839" ht="12.5" spans="6:10">
      <c r="F839" s="3"/>
      <c r="G839" s="3"/>
      <c r="H839" s="3"/>
      <c r="I839" s="3"/>
      <c r="J839" s="3"/>
    </row>
    <row r="840" ht="12.5" spans="6:10">
      <c r="F840" s="3"/>
      <c r="G840" s="3"/>
      <c r="H840" s="3"/>
      <c r="I840" s="3"/>
      <c r="J840" s="3"/>
    </row>
    <row r="841" ht="12.5" spans="6:10">
      <c r="F841" s="3"/>
      <c r="G841" s="3"/>
      <c r="H841" s="3"/>
      <c r="I841" s="3"/>
      <c r="J841" s="3"/>
    </row>
    <row r="842" ht="12.5" spans="6:10">
      <c r="F842" s="3"/>
      <c r="G842" s="3"/>
      <c r="H842" s="3"/>
      <c r="I842" s="3"/>
      <c r="J842" s="3"/>
    </row>
    <row r="843" ht="12.5" spans="6:10">
      <c r="F843" s="3"/>
      <c r="G843" s="3"/>
      <c r="H843" s="3"/>
      <c r="I843" s="3"/>
      <c r="J843" s="3"/>
    </row>
    <row r="844" ht="12.5" spans="6:10">
      <c r="F844" s="3"/>
      <c r="G844" s="3"/>
      <c r="H844" s="3"/>
      <c r="I844" s="3"/>
      <c r="J844" s="3"/>
    </row>
    <row r="845" ht="12.5" spans="6:10">
      <c r="F845" s="3"/>
      <c r="G845" s="3"/>
      <c r="H845" s="3"/>
      <c r="I845" s="3"/>
      <c r="J845" s="3"/>
    </row>
    <row r="846" ht="12.5" spans="6:10">
      <c r="F846" s="3"/>
      <c r="G846" s="3"/>
      <c r="H846" s="3"/>
      <c r="I846" s="3"/>
      <c r="J846" s="3"/>
    </row>
    <row r="847" ht="12.5" spans="6:10">
      <c r="F847" s="3"/>
      <c r="G847" s="3"/>
      <c r="H847" s="3"/>
      <c r="I847" s="3"/>
      <c r="J847" s="3"/>
    </row>
    <row r="848" ht="12.5" spans="6:10">
      <c r="F848" s="3"/>
      <c r="G848" s="3"/>
      <c r="H848" s="3"/>
      <c r="I848" s="3"/>
      <c r="J848" s="3"/>
    </row>
    <row r="849" ht="12.5" spans="6:10">
      <c r="F849" s="3"/>
      <c r="G849" s="3"/>
      <c r="H849" s="3"/>
      <c r="I849" s="3"/>
      <c r="J849" s="3"/>
    </row>
    <row r="850" ht="12.5" spans="6:10">
      <c r="F850" s="3"/>
      <c r="G850" s="3"/>
      <c r="H850" s="3"/>
      <c r="I850" s="3"/>
      <c r="J850" s="3"/>
    </row>
    <row r="851" ht="12.5" spans="6:10">
      <c r="F851" s="3"/>
      <c r="G851" s="3"/>
      <c r="H851" s="3"/>
      <c r="I851" s="3"/>
      <c r="J851" s="3"/>
    </row>
    <row r="852" ht="12.5" spans="6:10">
      <c r="F852" s="3"/>
      <c r="G852" s="3"/>
      <c r="H852" s="3"/>
      <c r="I852" s="3"/>
      <c r="J852" s="3"/>
    </row>
    <row r="853" ht="12.5" spans="6:10">
      <c r="F853" s="3"/>
      <c r="G853" s="3"/>
      <c r="H853" s="3"/>
      <c r="I853" s="3"/>
      <c r="J853" s="3"/>
    </row>
    <row r="854" ht="12.5" spans="6:10">
      <c r="F854" s="3"/>
      <c r="G854" s="3"/>
      <c r="H854" s="3"/>
      <c r="I854" s="3"/>
      <c r="J854" s="3"/>
    </row>
    <row r="855" ht="12.5" spans="6:10">
      <c r="F855" s="3"/>
      <c r="G855" s="3"/>
      <c r="H855" s="3"/>
      <c r="I855" s="3"/>
      <c r="J855" s="3"/>
    </row>
    <row r="856" ht="12.5" spans="6:10">
      <c r="F856" s="3"/>
      <c r="G856" s="3"/>
      <c r="H856" s="3"/>
      <c r="I856" s="3"/>
      <c r="J856" s="3"/>
    </row>
    <row r="857" ht="12.5" spans="6:10">
      <c r="F857" s="3"/>
      <c r="G857" s="3"/>
      <c r="H857" s="3"/>
      <c r="I857" s="3"/>
      <c r="J857" s="3"/>
    </row>
    <row r="858" ht="12.5" spans="6:10">
      <c r="F858" s="3"/>
      <c r="G858" s="3"/>
      <c r="H858" s="3"/>
      <c r="I858" s="3"/>
      <c r="J858" s="3"/>
    </row>
    <row r="859" ht="12.5" spans="6:10">
      <c r="F859" s="3"/>
      <c r="G859" s="3"/>
      <c r="H859" s="3"/>
      <c r="I859" s="3"/>
      <c r="J859" s="3"/>
    </row>
    <row r="860" ht="12.5" spans="6:10">
      <c r="F860" s="3"/>
      <c r="G860" s="3"/>
      <c r="H860" s="3"/>
      <c r="I860" s="3"/>
      <c r="J860" s="3"/>
    </row>
    <row r="861" ht="12.5" spans="6:10">
      <c r="F861" s="3"/>
      <c r="G861" s="3"/>
      <c r="H861" s="3"/>
      <c r="I861" s="3"/>
      <c r="J861" s="3"/>
    </row>
    <row r="862" ht="12.5" spans="6:10">
      <c r="F862" s="3"/>
      <c r="G862" s="3"/>
      <c r="H862" s="3"/>
      <c r="I862" s="3"/>
      <c r="J862" s="3"/>
    </row>
    <row r="863" ht="12.5" spans="6:10">
      <c r="F863" s="3"/>
      <c r="G863" s="3"/>
      <c r="H863" s="3"/>
      <c r="I863" s="3"/>
      <c r="J863" s="3"/>
    </row>
    <row r="864" ht="12.5" spans="6:10">
      <c r="F864" s="3"/>
      <c r="G864" s="3"/>
      <c r="H864" s="3"/>
      <c r="I864" s="3"/>
      <c r="J864" s="3"/>
    </row>
    <row r="865" ht="12.5" spans="6:10">
      <c r="F865" s="3"/>
      <c r="G865" s="3"/>
      <c r="H865" s="3"/>
      <c r="I865" s="3"/>
      <c r="J865" s="3"/>
    </row>
    <row r="866" ht="12.5" spans="6:10">
      <c r="F866" s="3"/>
      <c r="G866" s="3"/>
      <c r="H866" s="3"/>
      <c r="I866" s="3"/>
      <c r="J866" s="3"/>
    </row>
    <row r="867" ht="12.5" spans="6:10">
      <c r="F867" s="3"/>
      <c r="G867" s="3"/>
      <c r="H867" s="3"/>
      <c r="I867" s="3"/>
      <c r="J867" s="3"/>
    </row>
    <row r="868" ht="12.5" spans="6:10">
      <c r="F868" s="3"/>
      <c r="G868" s="3"/>
      <c r="H868" s="3"/>
      <c r="I868" s="3"/>
      <c r="J868" s="3"/>
    </row>
    <row r="869" ht="12.5" spans="6:10">
      <c r="F869" s="3"/>
      <c r="G869" s="3"/>
      <c r="H869" s="3"/>
      <c r="I869" s="3"/>
      <c r="J869" s="3"/>
    </row>
    <row r="870" ht="12.5" spans="6:10">
      <c r="F870" s="3"/>
      <c r="G870" s="3"/>
      <c r="H870" s="3"/>
      <c r="I870" s="3"/>
      <c r="J870" s="3"/>
    </row>
    <row r="871" ht="12.5" spans="6:10">
      <c r="F871" s="3"/>
      <c r="G871" s="3"/>
      <c r="H871" s="3"/>
      <c r="I871" s="3"/>
      <c r="J871" s="3"/>
    </row>
    <row r="872" ht="12.5" spans="6:10">
      <c r="F872" s="3"/>
      <c r="G872" s="3"/>
      <c r="H872" s="3"/>
      <c r="I872" s="3"/>
      <c r="J872" s="3"/>
    </row>
    <row r="873" ht="12.5" spans="6:10">
      <c r="F873" s="3"/>
      <c r="G873" s="3"/>
      <c r="H873" s="3"/>
      <c r="I873" s="3"/>
      <c r="J873" s="3"/>
    </row>
    <row r="874" ht="12.5" spans="6:10">
      <c r="F874" s="3"/>
      <c r="G874" s="3"/>
      <c r="H874" s="3"/>
      <c r="I874" s="3"/>
      <c r="J874" s="3"/>
    </row>
    <row r="875" ht="12.5" spans="6:10">
      <c r="F875" s="3"/>
      <c r="G875" s="3"/>
      <c r="H875" s="3"/>
      <c r="I875" s="3"/>
      <c r="J875" s="3"/>
    </row>
    <row r="876" ht="12.5" spans="6:10">
      <c r="F876" s="3"/>
      <c r="G876" s="3"/>
      <c r="H876" s="3"/>
      <c r="I876" s="3"/>
      <c r="J876" s="3"/>
    </row>
    <row r="877" ht="12.5" spans="6:10">
      <c r="F877" s="3"/>
      <c r="G877" s="3"/>
      <c r="H877" s="3"/>
      <c r="I877" s="3"/>
      <c r="J877" s="3"/>
    </row>
    <row r="878" ht="12.5" spans="6:10">
      <c r="F878" s="3"/>
      <c r="G878" s="3"/>
      <c r="H878" s="3"/>
      <c r="I878" s="3"/>
      <c r="J878" s="3"/>
    </row>
    <row r="879" ht="12.5" spans="6:10">
      <c r="F879" s="3"/>
      <c r="G879" s="3"/>
      <c r="H879" s="3"/>
      <c r="I879" s="3"/>
      <c r="J879" s="3"/>
    </row>
    <row r="880" ht="12.5" spans="6:10">
      <c r="F880" s="3"/>
      <c r="G880" s="3"/>
      <c r="H880" s="3"/>
      <c r="I880" s="3"/>
      <c r="J880" s="3"/>
    </row>
    <row r="881" ht="12.5" spans="6:10">
      <c r="F881" s="3"/>
      <c r="G881" s="3"/>
      <c r="H881" s="3"/>
      <c r="I881" s="3"/>
      <c r="J881" s="3"/>
    </row>
    <row r="882" ht="12.5" spans="6:10">
      <c r="F882" s="3"/>
      <c r="G882" s="3"/>
      <c r="H882" s="3"/>
      <c r="I882" s="3"/>
      <c r="J882" s="3"/>
    </row>
    <row r="883" ht="12.5" spans="6:10">
      <c r="F883" s="3"/>
      <c r="G883" s="3"/>
      <c r="H883" s="3"/>
      <c r="I883" s="3"/>
      <c r="J883" s="3"/>
    </row>
    <row r="884" ht="12.5" spans="6:10">
      <c r="F884" s="3"/>
      <c r="G884" s="3"/>
      <c r="H884" s="3"/>
      <c r="I884" s="3"/>
      <c r="J884" s="3"/>
    </row>
    <row r="885" ht="12.5" spans="6:10">
      <c r="F885" s="3"/>
      <c r="G885" s="3"/>
      <c r="H885" s="3"/>
      <c r="I885" s="3"/>
      <c r="J885" s="3"/>
    </row>
    <row r="886" ht="12.5" spans="6:10">
      <c r="F886" s="3"/>
      <c r="G886" s="3"/>
      <c r="H886" s="3"/>
      <c r="I886" s="3"/>
      <c r="J886" s="3"/>
    </row>
    <row r="887" ht="12.5" spans="6:10">
      <c r="F887" s="3"/>
      <c r="G887" s="3"/>
      <c r="H887" s="3"/>
      <c r="I887" s="3"/>
      <c r="J887" s="3"/>
    </row>
    <row r="888" ht="12.5" spans="6:10">
      <c r="F888" s="3"/>
      <c r="G888" s="3"/>
      <c r="H888" s="3"/>
      <c r="I888" s="3"/>
      <c r="J888" s="3"/>
    </row>
    <row r="889" ht="12.5" spans="6:10">
      <c r="F889" s="3"/>
      <c r="G889" s="3"/>
      <c r="H889" s="3"/>
      <c r="I889" s="3"/>
      <c r="J889" s="3"/>
    </row>
    <row r="890" ht="12.5" spans="6:10">
      <c r="F890" s="3"/>
      <c r="G890" s="3"/>
      <c r="H890" s="3"/>
      <c r="I890" s="3"/>
      <c r="J890" s="3"/>
    </row>
    <row r="891" ht="12.5" spans="6:10">
      <c r="F891" s="3"/>
      <c r="G891" s="3"/>
      <c r="H891" s="3"/>
      <c r="I891" s="3"/>
      <c r="J891" s="3"/>
    </row>
    <row r="892" ht="12.5" spans="6:10">
      <c r="F892" s="3"/>
      <c r="G892" s="3"/>
      <c r="H892" s="3"/>
      <c r="I892" s="3"/>
      <c r="J892" s="3"/>
    </row>
    <row r="893" ht="12.5" spans="6:10">
      <c r="F893" s="3"/>
      <c r="G893" s="3"/>
      <c r="H893" s="3"/>
      <c r="I893" s="3"/>
      <c r="J893" s="3"/>
    </row>
    <row r="894" ht="12.5" spans="6:10">
      <c r="F894" s="3"/>
      <c r="G894" s="3"/>
      <c r="H894" s="3"/>
      <c r="I894" s="3"/>
      <c r="J894" s="3"/>
    </row>
    <row r="895" ht="12.5" spans="6:10">
      <c r="F895" s="3"/>
      <c r="G895" s="3"/>
      <c r="H895" s="3"/>
      <c r="I895" s="3"/>
      <c r="J895" s="3"/>
    </row>
    <row r="896" ht="12.5" spans="6:10">
      <c r="F896" s="3"/>
      <c r="G896" s="3"/>
      <c r="H896" s="3"/>
      <c r="I896" s="3"/>
      <c r="J896" s="3"/>
    </row>
    <row r="897" ht="12.5" spans="6:10">
      <c r="F897" s="3"/>
      <c r="G897" s="3"/>
      <c r="H897" s="3"/>
      <c r="I897" s="3"/>
      <c r="J897" s="3"/>
    </row>
    <row r="898" ht="12.5" spans="6:10">
      <c r="F898" s="3"/>
      <c r="G898" s="3"/>
      <c r="H898" s="3"/>
      <c r="I898" s="3"/>
      <c r="J898" s="3"/>
    </row>
    <row r="899" ht="12.5" spans="6:10">
      <c r="F899" s="3"/>
      <c r="G899" s="3"/>
      <c r="H899" s="3"/>
      <c r="I899" s="3"/>
      <c r="J899" s="3"/>
    </row>
    <row r="900" ht="12.5" spans="6:10">
      <c r="F900" s="3"/>
      <c r="G900" s="3"/>
      <c r="H900" s="3"/>
      <c r="I900" s="3"/>
      <c r="J900" s="3"/>
    </row>
    <row r="901" ht="12.5" spans="6:10">
      <c r="F901" s="3"/>
      <c r="G901" s="3"/>
      <c r="H901" s="3"/>
      <c r="I901" s="3"/>
      <c r="J901" s="3"/>
    </row>
    <row r="902" ht="12.5" spans="6:10">
      <c r="F902" s="3"/>
      <c r="G902" s="3"/>
      <c r="H902" s="3"/>
      <c r="I902" s="3"/>
      <c r="J902" s="3"/>
    </row>
    <row r="903" ht="12.5" spans="6:10">
      <c r="F903" s="3"/>
      <c r="G903" s="3"/>
      <c r="H903" s="3"/>
      <c r="I903" s="3"/>
      <c r="J903" s="3"/>
    </row>
    <row r="904" ht="12.5" spans="6:10">
      <c r="F904" s="3"/>
      <c r="G904" s="3"/>
      <c r="H904" s="3"/>
      <c r="I904" s="3"/>
      <c r="J904" s="3"/>
    </row>
    <row r="905" ht="12.5" spans="6:10">
      <c r="F905" s="3"/>
      <c r="G905" s="3"/>
      <c r="H905" s="3"/>
      <c r="I905" s="3"/>
      <c r="J905" s="3"/>
    </row>
    <row r="906" ht="12.5" spans="6:10">
      <c r="F906" s="3"/>
      <c r="G906" s="3"/>
      <c r="H906" s="3"/>
      <c r="I906" s="3"/>
      <c r="J906" s="3"/>
    </row>
    <row r="907" ht="12.5" spans="6:10">
      <c r="F907" s="3"/>
      <c r="G907" s="3"/>
      <c r="H907" s="3"/>
      <c r="I907" s="3"/>
      <c r="J907" s="3"/>
    </row>
    <row r="908" ht="12.5" spans="6:10">
      <c r="F908" s="3"/>
      <c r="G908" s="3"/>
      <c r="H908" s="3"/>
      <c r="I908" s="3"/>
      <c r="J908" s="3"/>
    </row>
    <row r="909" ht="12.5" spans="6:10">
      <c r="F909" s="3"/>
      <c r="G909" s="3"/>
      <c r="H909" s="3"/>
      <c r="I909" s="3"/>
      <c r="J909" s="3"/>
    </row>
    <row r="910" ht="12.5" spans="6:10">
      <c r="F910" s="3"/>
      <c r="G910" s="3"/>
      <c r="H910" s="3"/>
      <c r="I910" s="3"/>
      <c r="J910" s="3"/>
    </row>
    <row r="911" ht="12.5" spans="6:10">
      <c r="F911" s="3"/>
      <c r="G911" s="3"/>
      <c r="H911" s="3"/>
      <c r="I911" s="3"/>
      <c r="J911" s="3"/>
    </row>
    <row r="912" ht="12.5" spans="6:10">
      <c r="F912" s="3"/>
      <c r="G912" s="3"/>
      <c r="H912" s="3"/>
      <c r="I912" s="3"/>
      <c r="J912" s="3"/>
    </row>
    <row r="913" ht="12.5" spans="6:10">
      <c r="F913" s="3"/>
      <c r="G913" s="3"/>
      <c r="H913" s="3"/>
      <c r="I913" s="3"/>
      <c r="J913" s="3"/>
    </row>
    <row r="914" ht="12.5" spans="6:10">
      <c r="F914" s="3"/>
      <c r="G914" s="3"/>
      <c r="H914" s="3"/>
      <c r="I914" s="3"/>
      <c r="J914" s="3"/>
    </row>
    <row r="915" ht="12.5" spans="6:10">
      <c r="F915" s="3"/>
      <c r="G915" s="3"/>
      <c r="H915" s="3"/>
      <c r="I915" s="3"/>
      <c r="J915" s="3"/>
    </row>
    <row r="916" ht="12.5" spans="6:10">
      <c r="F916" s="3"/>
      <c r="G916" s="3"/>
      <c r="H916" s="3"/>
      <c r="I916" s="3"/>
      <c r="J916" s="3"/>
    </row>
    <row r="917" ht="12.5" spans="6:10">
      <c r="F917" s="3"/>
      <c r="G917" s="3"/>
      <c r="H917" s="3"/>
      <c r="I917" s="3"/>
      <c r="J917" s="3"/>
    </row>
    <row r="918" ht="12.5" spans="6:10">
      <c r="F918" s="3"/>
      <c r="G918" s="3"/>
      <c r="H918" s="3"/>
      <c r="I918" s="3"/>
      <c r="J918" s="3"/>
    </row>
    <row r="919" ht="12.5" spans="6:10">
      <c r="F919" s="3"/>
      <c r="G919" s="3"/>
      <c r="H919" s="3"/>
      <c r="I919" s="3"/>
      <c r="J919" s="3"/>
    </row>
    <row r="920" ht="12.5" spans="6:10">
      <c r="F920" s="3"/>
      <c r="G920" s="3"/>
      <c r="H920" s="3"/>
      <c r="I920" s="3"/>
      <c r="J920" s="3"/>
    </row>
    <row r="921" ht="12.5" spans="6:10">
      <c r="F921" s="3"/>
      <c r="G921" s="3"/>
      <c r="H921" s="3"/>
      <c r="I921" s="3"/>
      <c r="J921" s="3"/>
    </row>
    <row r="922" ht="12.5" spans="6:10">
      <c r="F922" s="3"/>
      <c r="G922" s="3"/>
      <c r="H922" s="3"/>
      <c r="I922" s="3"/>
      <c r="J922" s="3"/>
    </row>
    <row r="923" ht="12.5" spans="6:10">
      <c r="F923" s="3"/>
      <c r="G923" s="3"/>
      <c r="H923" s="3"/>
      <c r="I923" s="3"/>
      <c r="J923" s="3"/>
    </row>
    <row r="924" ht="12.5" spans="6:10">
      <c r="F924" s="3"/>
      <c r="G924" s="3"/>
      <c r="H924" s="3"/>
      <c r="I924" s="3"/>
      <c r="J924" s="3"/>
    </row>
    <row r="925" ht="12.5" spans="6:10">
      <c r="F925" s="3"/>
      <c r="G925" s="3"/>
      <c r="H925" s="3"/>
      <c r="I925" s="3"/>
      <c r="J925" s="3"/>
    </row>
    <row r="926" ht="12.5" spans="6:10">
      <c r="F926" s="3"/>
      <c r="G926" s="3"/>
      <c r="H926" s="3"/>
      <c r="I926" s="3"/>
      <c r="J926" s="3"/>
    </row>
    <row r="927" ht="12.5" spans="6:10">
      <c r="F927" s="3"/>
      <c r="G927" s="3"/>
      <c r="H927" s="3"/>
      <c r="I927" s="3"/>
      <c r="J927" s="3"/>
    </row>
    <row r="928" ht="12.5" spans="6:10">
      <c r="F928" s="3"/>
      <c r="G928" s="3"/>
      <c r="H928" s="3"/>
      <c r="I928" s="3"/>
      <c r="J928" s="3"/>
    </row>
    <row r="929" ht="12.5" spans="6:10">
      <c r="F929" s="3"/>
      <c r="G929" s="3"/>
      <c r="H929" s="3"/>
      <c r="I929" s="3"/>
      <c r="J929" s="3"/>
    </row>
    <row r="930" ht="12.5" spans="6:10">
      <c r="F930" s="3"/>
      <c r="G930" s="3"/>
      <c r="H930" s="3"/>
      <c r="I930" s="3"/>
      <c r="J930" s="3"/>
    </row>
    <row r="931" ht="12.5" spans="6:10">
      <c r="F931" s="3"/>
      <c r="G931" s="3"/>
      <c r="H931" s="3"/>
      <c r="I931" s="3"/>
      <c r="J931" s="3"/>
    </row>
    <row r="932" ht="12.5" spans="6:10">
      <c r="F932" s="3"/>
      <c r="G932" s="3"/>
      <c r="H932" s="3"/>
      <c r="I932" s="3"/>
      <c r="J932" s="3"/>
    </row>
    <row r="933" ht="12.5" spans="6:10">
      <c r="F933" s="3"/>
      <c r="G933" s="3"/>
      <c r="H933" s="3"/>
      <c r="I933" s="3"/>
      <c r="J933" s="3"/>
    </row>
    <row r="934" ht="12.5" spans="6:10">
      <c r="F934" s="3"/>
      <c r="G934" s="3"/>
      <c r="H934" s="3"/>
      <c r="I934" s="3"/>
      <c r="J934" s="3"/>
    </row>
    <row r="935" ht="12.5" spans="6:10">
      <c r="F935" s="3"/>
      <c r="G935" s="3"/>
      <c r="H935" s="3"/>
      <c r="I935" s="3"/>
      <c r="J935" s="3"/>
    </row>
    <row r="936" ht="12.5" spans="6:10">
      <c r="F936" s="3"/>
      <c r="G936" s="3"/>
      <c r="H936" s="3"/>
      <c r="I936" s="3"/>
      <c r="J936" s="3"/>
    </row>
    <row r="937" ht="12.5" spans="6:10">
      <c r="F937" s="3"/>
      <c r="G937" s="3"/>
      <c r="H937" s="3"/>
      <c r="I937" s="3"/>
      <c r="J937" s="3"/>
    </row>
    <row r="938" ht="12.5" spans="6:10">
      <c r="F938" s="3"/>
      <c r="G938" s="3"/>
      <c r="H938" s="3"/>
      <c r="I938" s="3"/>
      <c r="J938" s="3"/>
    </row>
    <row r="939" ht="12.5" spans="6:10">
      <c r="F939" s="3"/>
      <c r="G939" s="3"/>
      <c r="H939" s="3"/>
      <c r="I939" s="3"/>
      <c r="J939" s="3"/>
    </row>
    <row r="940" ht="12.5" spans="6:10">
      <c r="F940" s="3"/>
      <c r="G940" s="3"/>
      <c r="H940" s="3"/>
      <c r="I940" s="3"/>
      <c r="J940" s="3"/>
    </row>
    <row r="941" ht="12.5" spans="6:10">
      <c r="F941" s="3"/>
      <c r="G941" s="3"/>
      <c r="H941" s="3"/>
      <c r="I941" s="3"/>
      <c r="J941" s="3"/>
    </row>
    <row r="942" ht="12.5" spans="6:10">
      <c r="F942" s="3"/>
      <c r="G942" s="3"/>
      <c r="H942" s="3"/>
      <c r="I942" s="3"/>
      <c r="J942" s="3"/>
    </row>
    <row r="943" ht="12.5" spans="6:10">
      <c r="F943" s="3"/>
      <c r="G943" s="3"/>
      <c r="H943" s="3"/>
      <c r="I943" s="3"/>
      <c r="J943" s="3"/>
    </row>
    <row r="944" ht="12.5" spans="6:10">
      <c r="F944" s="3"/>
      <c r="G944" s="3"/>
      <c r="H944" s="3"/>
      <c r="I944" s="3"/>
      <c r="J944" s="3"/>
    </row>
    <row r="945" ht="12.5" spans="6:10">
      <c r="F945" s="3"/>
      <c r="G945" s="3"/>
      <c r="H945" s="3"/>
      <c r="I945" s="3"/>
      <c r="J945" s="3"/>
    </row>
    <row r="946" ht="12.5" spans="6:10">
      <c r="F946" s="3"/>
      <c r="G946" s="3"/>
      <c r="H946" s="3"/>
      <c r="I946" s="3"/>
      <c r="J946" s="3"/>
    </row>
    <row r="947" ht="12.5" spans="6:10">
      <c r="F947" s="3"/>
      <c r="G947" s="3"/>
      <c r="H947" s="3"/>
      <c r="I947" s="3"/>
      <c r="J947" s="3"/>
    </row>
    <row r="948" ht="12.5" spans="6:10">
      <c r="F948" s="3"/>
      <c r="G948" s="3"/>
      <c r="H948" s="3"/>
      <c r="I948" s="3"/>
      <c r="J948" s="3"/>
    </row>
    <row r="949" ht="12.5" spans="6:10">
      <c r="F949" s="3"/>
      <c r="G949" s="3"/>
      <c r="H949" s="3"/>
      <c r="I949" s="3"/>
      <c r="J949" s="3"/>
    </row>
    <row r="950" ht="12.5" spans="6:10">
      <c r="F950" s="3"/>
      <c r="G950" s="3"/>
      <c r="H950" s="3"/>
      <c r="I950" s="3"/>
      <c r="J950" s="3"/>
    </row>
    <row r="951" ht="12.5" spans="6:10">
      <c r="F951" s="3"/>
      <c r="G951" s="3"/>
      <c r="H951" s="3"/>
      <c r="I951" s="3"/>
      <c r="J951" s="3"/>
    </row>
    <row r="952" ht="12.5" spans="6:10">
      <c r="F952" s="3"/>
      <c r="G952" s="3"/>
      <c r="H952" s="3"/>
      <c r="I952" s="3"/>
      <c r="J952" s="3"/>
    </row>
    <row r="953" ht="12.5" spans="6:10">
      <c r="F953" s="3"/>
      <c r="G953" s="3"/>
      <c r="H953" s="3"/>
      <c r="I953" s="3"/>
      <c r="J953" s="3"/>
    </row>
    <row r="954" ht="12.5" spans="6:10">
      <c r="F954" s="3"/>
      <c r="G954" s="3"/>
      <c r="H954" s="3"/>
      <c r="I954" s="3"/>
      <c r="J954" s="3"/>
    </row>
    <row r="955" ht="12.5" spans="6:10">
      <c r="F955" s="3"/>
      <c r="G955" s="3"/>
      <c r="H955" s="3"/>
      <c r="I955" s="3"/>
      <c r="J955" s="3"/>
    </row>
    <row r="956" ht="12.5" spans="6:10">
      <c r="F956" s="3"/>
      <c r="G956" s="3"/>
      <c r="H956" s="3"/>
      <c r="I956" s="3"/>
      <c r="J956" s="3"/>
    </row>
    <row r="957" ht="12.5" spans="6:10">
      <c r="F957" s="3"/>
      <c r="G957" s="3"/>
      <c r="H957" s="3"/>
      <c r="I957" s="3"/>
      <c r="J957" s="3"/>
    </row>
    <row r="958" ht="12.5" spans="6:10">
      <c r="F958" s="3"/>
      <c r="G958" s="3"/>
      <c r="H958" s="3"/>
      <c r="I958" s="3"/>
      <c r="J958" s="3"/>
    </row>
    <row r="959" ht="12.5" spans="6:10">
      <c r="F959" s="3"/>
      <c r="G959" s="3"/>
      <c r="H959" s="3"/>
      <c r="I959" s="3"/>
      <c r="J959" s="3"/>
    </row>
    <row r="960" ht="12.5" spans="6:10">
      <c r="F960" s="3"/>
      <c r="G960" s="3"/>
      <c r="H960" s="3"/>
      <c r="I960" s="3"/>
      <c r="J960" s="3"/>
    </row>
    <row r="961" ht="12.5" spans="6:10">
      <c r="F961" s="3"/>
      <c r="G961" s="3"/>
      <c r="H961" s="3"/>
      <c r="I961" s="3"/>
      <c r="J961" s="3"/>
    </row>
    <row r="962" ht="12.5" spans="6:10">
      <c r="F962" s="3"/>
      <c r="G962" s="3"/>
      <c r="H962" s="3"/>
      <c r="I962" s="3"/>
      <c r="J962" s="3"/>
    </row>
    <row r="963" ht="12.5" spans="6:10">
      <c r="F963" s="3"/>
      <c r="G963" s="3"/>
      <c r="H963" s="3"/>
      <c r="I963" s="3"/>
      <c r="J963" s="3"/>
    </row>
    <row r="964" ht="12.5" spans="6:10">
      <c r="F964" s="3"/>
      <c r="G964" s="3"/>
      <c r="H964" s="3"/>
      <c r="I964" s="3"/>
      <c r="J964" s="3"/>
    </row>
    <row r="965" ht="12.5" spans="6:10">
      <c r="F965" s="3"/>
      <c r="G965" s="3"/>
      <c r="H965" s="3"/>
      <c r="I965" s="3"/>
      <c r="J965" s="3"/>
    </row>
    <row r="966" ht="12.5" spans="6:10">
      <c r="F966" s="3"/>
      <c r="G966" s="3"/>
      <c r="H966" s="3"/>
      <c r="I966" s="3"/>
      <c r="J966" s="3"/>
    </row>
    <row r="967" ht="12.5" spans="6:10">
      <c r="F967" s="3"/>
      <c r="G967" s="3"/>
      <c r="H967" s="3"/>
      <c r="I967" s="3"/>
      <c r="J967" s="3"/>
    </row>
    <row r="968" ht="12.5" spans="6:10">
      <c r="F968" s="3"/>
      <c r="G968" s="3"/>
      <c r="H968" s="3"/>
      <c r="I968" s="3"/>
      <c r="J968" s="3"/>
    </row>
    <row r="969" ht="12.5" spans="6:10">
      <c r="F969" s="3"/>
      <c r="G969" s="3"/>
      <c r="H969" s="3"/>
      <c r="I969" s="3"/>
      <c r="J969" s="3"/>
    </row>
    <row r="970" ht="12.5" spans="6:10">
      <c r="F970" s="3"/>
      <c r="G970" s="3"/>
      <c r="H970" s="3"/>
      <c r="I970" s="3"/>
      <c r="J970" s="3"/>
    </row>
    <row r="971" ht="12.5" spans="6:10">
      <c r="F971" s="3"/>
      <c r="G971" s="3"/>
      <c r="H971" s="3"/>
      <c r="I971" s="3"/>
      <c r="J971" s="3"/>
    </row>
    <row r="972" ht="12.5" spans="6:10">
      <c r="F972" s="3"/>
      <c r="G972" s="3"/>
      <c r="H972" s="3"/>
      <c r="I972" s="3"/>
      <c r="J972" s="3"/>
    </row>
    <row r="973" ht="12.5" spans="6:10">
      <c r="F973" s="3"/>
      <c r="G973" s="3"/>
      <c r="H973" s="3"/>
      <c r="I973" s="3"/>
      <c r="J973" s="3"/>
    </row>
    <row r="974" ht="12.5" spans="6:10">
      <c r="F974" s="3"/>
      <c r="G974" s="3"/>
      <c r="H974" s="3"/>
      <c r="I974" s="3"/>
      <c r="J974" s="3"/>
    </row>
    <row r="975" ht="12.5" spans="6:10">
      <c r="F975" s="3"/>
      <c r="G975" s="3"/>
      <c r="H975" s="3"/>
      <c r="I975" s="3"/>
      <c r="J975" s="3"/>
    </row>
    <row r="976" ht="12.5" spans="6:10">
      <c r="F976" s="3"/>
      <c r="G976" s="3"/>
      <c r="H976" s="3"/>
      <c r="I976" s="3"/>
      <c r="J976" s="3"/>
    </row>
    <row r="977" ht="12.5" spans="6:10">
      <c r="F977" s="3"/>
      <c r="G977" s="3"/>
      <c r="H977" s="3"/>
      <c r="I977" s="3"/>
      <c r="J977" s="3"/>
    </row>
    <row r="978" ht="12.5" spans="6:10">
      <c r="F978" s="3"/>
      <c r="G978" s="3"/>
      <c r="H978" s="3"/>
      <c r="I978" s="3"/>
      <c r="J978" s="3"/>
    </row>
    <row r="979" ht="12.5" spans="6:10">
      <c r="F979" s="3"/>
      <c r="G979" s="3"/>
      <c r="H979" s="3"/>
      <c r="I979" s="3"/>
      <c r="J979" s="3"/>
    </row>
    <row r="980" ht="12.5" spans="6:10">
      <c r="F980" s="3"/>
      <c r="G980" s="3"/>
      <c r="H980" s="3"/>
      <c r="I980" s="3"/>
      <c r="J980" s="3"/>
    </row>
    <row r="981" ht="12.5" spans="6:10">
      <c r="F981" s="3"/>
      <c r="G981" s="3"/>
      <c r="H981" s="3"/>
      <c r="I981" s="3"/>
      <c r="J981" s="3"/>
    </row>
    <row r="982" ht="12.5" spans="6:10">
      <c r="F982" s="3"/>
      <c r="G982" s="3"/>
      <c r="H982" s="3"/>
      <c r="I982" s="3"/>
      <c r="J982" s="3"/>
    </row>
    <row r="983" ht="12.5" spans="6:10">
      <c r="F983" s="3"/>
      <c r="G983" s="3"/>
      <c r="H983" s="3"/>
      <c r="I983" s="3"/>
      <c r="J983" s="3"/>
    </row>
    <row r="984" ht="12.5" spans="6:10">
      <c r="F984" s="3"/>
      <c r="G984" s="3"/>
      <c r="H984" s="3"/>
      <c r="I984" s="3"/>
      <c r="J984" s="3"/>
    </row>
    <row r="985" ht="12.5" spans="6:10">
      <c r="F985" s="3"/>
      <c r="G985" s="3"/>
      <c r="H985" s="3"/>
      <c r="I985" s="3"/>
      <c r="J985" s="3"/>
    </row>
    <row r="986" ht="12.5" spans="6:10">
      <c r="F986" s="3"/>
      <c r="G986" s="3"/>
      <c r="H986" s="3"/>
      <c r="I986" s="3"/>
      <c r="J986" s="3"/>
    </row>
    <row r="987" ht="12.5" spans="6:10">
      <c r="F987" s="3"/>
      <c r="G987" s="3"/>
      <c r="H987" s="3"/>
      <c r="I987" s="3"/>
      <c r="J987" s="3"/>
    </row>
    <row r="988" ht="12.5" spans="6:10">
      <c r="F988" s="3"/>
      <c r="G988" s="3"/>
      <c r="H988" s="3"/>
      <c r="I988" s="3"/>
      <c r="J988" s="3"/>
    </row>
    <row r="989" ht="12.5" spans="6:10">
      <c r="F989" s="3"/>
      <c r="G989" s="3"/>
      <c r="H989" s="3"/>
      <c r="I989" s="3"/>
      <c r="J989" s="3"/>
    </row>
    <row r="990" ht="12.5" spans="6:10">
      <c r="F990" s="3"/>
      <c r="G990" s="3"/>
      <c r="H990" s="3"/>
      <c r="I990" s="3"/>
      <c r="J990" s="3"/>
    </row>
    <row r="991" ht="12.5" spans="6:10">
      <c r="F991" s="3"/>
      <c r="G991" s="3"/>
      <c r="H991" s="3"/>
      <c r="I991" s="3"/>
      <c r="J991" s="3"/>
    </row>
    <row r="992" ht="12.5" spans="6:10">
      <c r="F992" s="3"/>
      <c r="G992" s="3"/>
      <c r="H992" s="3"/>
      <c r="I992" s="3"/>
      <c r="J992" s="3"/>
    </row>
    <row r="993" ht="12.5" spans="6:10">
      <c r="F993" s="3"/>
      <c r="G993" s="3"/>
      <c r="H993" s="3"/>
      <c r="I993" s="3"/>
      <c r="J993" s="3"/>
    </row>
    <row r="994" ht="12.5" spans="6:10">
      <c r="F994" s="3"/>
      <c r="G994" s="3"/>
      <c r="H994" s="3"/>
      <c r="I994" s="3"/>
      <c r="J994" s="3"/>
    </row>
    <row r="995" ht="12.5" spans="6:10">
      <c r="F995" s="3"/>
      <c r="G995" s="3"/>
      <c r="H995" s="3"/>
      <c r="I995" s="3"/>
      <c r="J995" s="3"/>
    </row>
    <row r="996" ht="12.5" spans="6:10">
      <c r="F996" s="3"/>
      <c r="G996" s="3"/>
      <c r="H996" s="3"/>
      <c r="I996" s="3"/>
      <c r="J996" s="3"/>
    </row>
    <row r="997" ht="12.5" spans="6:10">
      <c r="F997" s="3"/>
      <c r="G997" s="3"/>
      <c r="H997" s="3"/>
      <c r="I997" s="3"/>
      <c r="J997" s="3"/>
    </row>
    <row r="998" ht="12.5" spans="6:10">
      <c r="F998" s="3"/>
      <c r="G998" s="3"/>
      <c r="H998" s="3"/>
      <c r="I998" s="3"/>
      <c r="J998" s="3"/>
    </row>
    <row r="999" ht="12.5" spans="6:10">
      <c r="F999" s="3"/>
      <c r="G999" s="3"/>
      <c r="H999" s="3"/>
      <c r="I999" s="3"/>
      <c r="J999" s="3"/>
    </row>
    <row r="1000" ht="12.5" spans="6:10">
      <c r="F1000" s="3"/>
      <c r="G1000" s="3"/>
      <c r="H1000" s="3"/>
      <c r="I1000" s="3"/>
      <c r="J1000" s="3"/>
    </row>
    <row r="1001" ht="12.5" spans="6:10">
      <c r="F1001" s="3"/>
      <c r="G1001" s="3"/>
      <c r="H1001" s="3"/>
      <c r="I1001" s="3"/>
      <c r="J1001" s="3"/>
    </row>
    <row r="1002" ht="12.5" spans="6:10">
      <c r="F1002" s="3"/>
      <c r="G1002" s="3"/>
      <c r="H1002" s="3"/>
      <c r="I1002" s="3"/>
      <c r="J1002" s="3"/>
    </row>
    <row r="1003" ht="12.5" spans="6:10">
      <c r="F1003" s="3"/>
      <c r="G1003" s="3"/>
      <c r="H1003" s="3"/>
      <c r="I1003" s="3"/>
      <c r="J1003" s="3"/>
    </row>
    <row r="1004" ht="12.5" spans="6:10">
      <c r="F1004" s="3"/>
      <c r="G1004" s="3"/>
      <c r="H1004" s="3"/>
      <c r="I1004" s="3"/>
      <c r="J1004" s="3"/>
    </row>
  </sheetData>
  <mergeCells count="5">
    <mergeCell ref="D4:E4"/>
    <mergeCell ref="A15:B15"/>
    <mergeCell ref="A16:B16"/>
    <mergeCell ref="F46:G46"/>
    <mergeCell ref="A8:A10"/>
  </mergeCells>
  <dataValidations count="4">
    <dataValidation type="list" allowBlank="1" showErrorMessage="1" sqref="B1">
      <formula1>$F$31:$F$40</formula1>
    </dataValidation>
    <dataValidation type="list" allowBlank="1" showErrorMessage="1" sqref="B2">
      <formula1>$F$24:$F$27</formula1>
    </dataValidation>
    <dataValidation type="list" allowBlank="1" showErrorMessage="1" sqref="B3">
      <formula1>$B$22:$B$40</formula1>
    </dataValidation>
    <dataValidation type="list" allowBlank="1" showErrorMessage="1" sqref="B4">
      <formula1>$Q$24:$Q$64</formula1>
    </dataValidation>
  </dataValidations>
  <hyperlinks>
    <hyperlink ref="I22" r:id="rId2" location="gid=638373003" display="storage fee by country"/>
    <hyperlink ref="J30" r:id="rId3" display="FX- 11.1"/>
    <hyperlink ref="C44" r:id="rId4" display="raw data"/>
  </hyperlink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41"/>
  <sheetViews>
    <sheetView workbookViewId="0">
      <selection activeCell="A1" sqref="A1"/>
    </sheetView>
  </sheetViews>
  <sheetFormatPr defaultColWidth="12.6636363636364" defaultRowHeight="15.75" customHeight="1"/>
  <cols>
    <col min="1" max="1" width="18.4454545454545" customWidth="1"/>
    <col min="2" max="2" width="31.3363636363636" customWidth="1"/>
    <col min="3" max="3" width="7.66363636363636" customWidth="1"/>
    <col min="5" max="5" width="15.4454545454545" customWidth="1"/>
    <col min="6" max="6" width="16.3363636363636" customWidth="1"/>
  </cols>
  <sheetData>
    <row r="1" ht="14.5" spans="1:2">
      <c r="A1" s="258" t="s">
        <v>0</v>
      </c>
      <c r="B1" s="259" t="s">
        <v>1</v>
      </c>
    </row>
    <row r="2" ht="14.5" spans="1:2">
      <c r="A2" s="258" t="s">
        <v>2</v>
      </c>
      <c r="B2" s="259" t="s">
        <v>3</v>
      </c>
    </row>
    <row r="3" ht="14.5" spans="1:2">
      <c r="A3" s="52" t="s">
        <v>4</v>
      </c>
      <c r="B3" s="259" t="s">
        <v>38</v>
      </c>
    </row>
    <row r="4" ht="14.5" spans="1:4">
      <c r="A4" s="260"/>
      <c r="B4" s="260"/>
      <c r="C4" s="260"/>
      <c r="D4" s="7" t="s">
        <v>6</v>
      </c>
    </row>
    <row r="5" ht="15.25" spans="1:5">
      <c r="A5" s="7" t="s">
        <v>7</v>
      </c>
      <c r="B5" s="7" t="s">
        <v>8</v>
      </c>
      <c r="C5" s="7"/>
      <c r="D5" s="7" t="s">
        <v>9</v>
      </c>
      <c r="E5" s="7" t="s">
        <v>10</v>
      </c>
    </row>
    <row r="6" ht="19.5" customHeight="1" spans="1:5">
      <c r="A6" s="261">
        <v>1</v>
      </c>
      <c r="B6" s="262" t="s">
        <v>11</v>
      </c>
      <c r="C6" s="262"/>
      <c r="D6" s="263">
        <v>5.2</v>
      </c>
      <c r="E6" s="264">
        <f t="shared" ref="E6:E7" si="0">D6/$D$15</f>
        <v>0.608678348608819</v>
      </c>
    </row>
    <row r="7" ht="19.5" customHeight="1" spans="1:5">
      <c r="A7" s="265">
        <v>2</v>
      </c>
      <c r="B7" s="266" t="s">
        <v>12</v>
      </c>
      <c r="C7" s="266"/>
      <c r="D7" s="267">
        <v>0.5</v>
      </c>
      <c r="E7" s="268">
        <f t="shared" si="0"/>
        <v>0.0585267642893095</v>
      </c>
    </row>
    <row r="8" ht="19.5" customHeight="1" spans="1:5">
      <c r="A8" s="269">
        <v>3</v>
      </c>
      <c r="B8" s="266" t="s">
        <v>13</v>
      </c>
      <c r="C8" s="270"/>
      <c r="D8" s="270">
        <f>D9+D10+D11</f>
        <v>1.41925</v>
      </c>
      <c r="E8" s="268"/>
    </row>
    <row r="9" ht="19.5" customHeight="1" spans="1:5">
      <c r="A9" s="22"/>
      <c r="B9" s="266" t="s">
        <v>14</v>
      </c>
      <c r="C9" s="271">
        <f>VLOOKUP(B1,F30:G37,2,0)</f>
        <v>0.075</v>
      </c>
      <c r="D9" s="270">
        <f>VLOOKUP(B2,F24:G24,2,0)*(1+C9)</f>
        <v>0.09675</v>
      </c>
      <c r="E9" s="268">
        <f t="shared" ref="E9:E11" si="1">D9/$D$15</f>
        <v>0.0113249288899814</v>
      </c>
    </row>
    <row r="10" ht="19.5" customHeight="1" spans="1:5">
      <c r="A10" s="22"/>
      <c r="B10" s="266" t="s">
        <v>15</v>
      </c>
      <c r="C10" s="272">
        <v>90</v>
      </c>
      <c r="D10" s="270">
        <f>VLOOKUP(B2,F24:I26,4,0)*C10</f>
        <v>0.9225</v>
      </c>
      <c r="E10" s="273">
        <f t="shared" si="1"/>
        <v>0.107981880113776</v>
      </c>
    </row>
    <row r="11" ht="19.5" customHeight="1" spans="1:5">
      <c r="A11" s="25"/>
      <c r="B11" s="274" t="s">
        <v>16</v>
      </c>
      <c r="C11" s="275"/>
      <c r="D11" s="275">
        <f>VLOOKUP(B2,F23:H26,3,0)</f>
        <v>0.4</v>
      </c>
      <c r="E11" s="268">
        <f t="shared" si="1"/>
        <v>0.0468214114314476</v>
      </c>
    </row>
    <row r="12" ht="19.5" customHeight="1" spans="1:5">
      <c r="A12" s="276" t="s">
        <v>17</v>
      </c>
      <c r="B12" s="277"/>
      <c r="C12" s="278"/>
      <c r="D12" s="279">
        <f>D6+D7+D8</f>
        <v>7.11925</v>
      </c>
      <c r="E12" s="280"/>
    </row>
    <row r="13" ht="19.5" customHeight="1" spans="1:5">
      <c r="A13" s="261">
        <v>4</v>
      </c>
      <c r="B13" s="262" t="s">
        <v>18</v>
      </c>
      <c r="C13" s="281">
        <f>VLOOKUP(B3,B21:D39,3,0)</f>
        <v>0.15</v>
      </c>
      <c r="D13" s="282">
        <f>D12*C13</f>
        <v>1.0678875</v>
      </c>
      <c r="E13" s="283">
        <f t="shared" ref="E13:E14" si="2">D13/$D$15</f>
        <v>0.125</v>
      </c>
    </row>
    <row r="14" ht="19.5" customHeight="1" spans="1:5">
      <c r="A14" s="284">
        <v>5</v>
      </c>
      <c r="B14" s="285" t="s">
        <v>19</v>
      </c>
      <c r="C14" s="286">
        <v>0.05</v>
      </c>
      <c r="D14" s="287">
        <f>D12*C14</f>
        <v>0.3559625</v>
      </c>
      <c r="E14" s="288">
        <f t="shared" si="2"/>
        <v>0.0416666666666667</v>
      </c>
    </row>
    <row r="15" ht="19.5" customHeight="1" spans="1:5">
      <c r="A15" s="289" t="s">
        <v>20</v>
      </c>
      <c r="B15" s="49"/>
      <c r="C15" s="290"/>
      <c r="D15" s="290">
        <f>D12+D13+D14</f>
        <v>8.5431</v>
      </c>
      <c r="E15" s="291"/>
    </row>
    <row r="16" ht="17" spans="1:5">
      <c r="A16" s="289" t="s">
        <v>21</v>
      </c>
      <c r="B16" s="49"/>
      <c r="C16" s="290">
        <f>VLOOKUP(B1,I30:J37,2,0)</f>
        <v>800</v>
      </c>
      <c r="D16" s="292">
        <f>D15*800</f>
        <v>6834.48</v>
      </c>
      <c r="E16" s="291"/>
    </row>
    <row r="17" ht="17" spans="1:4">
      <c r="A17" s="289" t="s">
        <v>22</v>
      </c>
      <c r="B17" s="49"/>
      <c r="C17" s="293">
        <v>0.1</v>
      </c>
      <c r="D17" s="292">
        <f>D16*(1+C17)</f>
        <v>7517.928</v>
      </c>
    </row>
    <row r="19" ht="12.5" spans="2:2">
      <c r="B19" s="294" t="s">
        <v>23</v>
      </c>
    </row>
    <row r="20" ht="12.5" spans="2:9">
      <c r="B20" s="56" t="s">
        <v>24</v>
      </c>
      <c r="C20" s="56"/>
      <c r="D20" s="56" t="s">
        <v>25</v>
      </c>
      <c r="G20" s="198"/>
      <c r="H20" s="198"/>
      <c r="I20" s="198"/>
    </row>
    <row r="21" ht="12.5" spans="2:9">
      <c r="B21" s="57" t="s">
        <v>26</v>
      </c>
      <c r="C21" s="58"/>
      <c r="D21" s="58">
        <v>0.06</v>
      </c>
      <c r="G21" s="198"/>
      <c r="H21" s="198"/>
      <c r="I21" s="198"/>
    </row>
    <row r="22" ht="13.25" spans="2:7">
      <c r="B22" s="57" t="s">
        <v>27</v>
      </c>
      <c r="C22" s="58"/>
      <c r="D22" s="58">
        <v>0.08</v>
      </c>
      <c r="G22" s="198"/>
    </row>
    <row r="23" ht="14" spans="2:9">
      <c r="B23" s="57" t="s">
        <v>28</v>
      </c>
      <c r="C23" s="58"/>
      <c r="D23" s="58">
        <v>0.08</v>
      </c>
      <c r="F23" s="295"/>
      <c r="G23" s="295" t="s">
        <v>29</v>
      </c>
      <c r="H23" s="295" t="s">
        <v>30</v>
      </c>
      <c r="I23" s="295" t="s">
        <v>31</v>
      </c>
    </row>
    <row r="24" ht="14" spans="2:9">
      <c r="B24" s="57" t="s">
        <v>32</v>
      </c>
      <c r="C24" s="58"/>
      <c r="D24" s="58">
        <v>0.08</v>
      </c>
      <c r="F24" s="295" t="s">
        <v>3</v>
      </c>
      <c r="G24" s="296">
        <v>0.09</v>
      </c>
      <c r="H24" s="296">
        <v>0.4</v>
      </c>
      <c r="I24" s="296">
        <v>0.01025</v>
      </c>
    </row>
    <row r="25" ht="14" spans="2:9">
      <c r="B25" s="57" t="s">
        <v>33</v>
      </c>
      <c r="C25" s="58"/>
      <c r="D25" s="58">
        <v>0.1</v>
      </c>
      <c r="F25" s="295" t="s">
        <v>34</v>
      </c>
      <c r="G25" s="296">
        <v>0.2</v>
      </c>
      <c r="H25" s="296">
        <v>0.6</v>
      </c>
      <c r="I25" s="296">
        <v>0.027</v>
      </c>
    </row>
    <row r="26" ht="14" spans="2:9">
      <c r="B26" s="57" t="s">
        <v>35</v>
      </c>
      <c r="C26" s="58"/>
      <c r="D26" s="58">
        <v>0.1</v>
      </c>
      <c r="F26" s="295" t="s">
        <v>36</v>
      </c>
      <c r="G26" s="296">
        <v>0.5</v>
      </c>
      <c r="H26" s="296">
        <v>1.3</v>
      </c>
      <c r="I26" s="296">
        <v>0.04725</v>
      </c>
    </row>
    <row r="27" ht="13.25" spans="2:4">
      <c r="B27" s="57" t="s">
        <v>37</v>
      </c>
      <c r="C27" s="58"/>
      <c r="D27" s="58">
        <v>0.1</v>
      </c>
    </row>
    <row r="28" ht="12.5" spans="2:4">
      <c r="B28" s="57" t="s">
        <v>38</v>
      </c>
      <c r="C28" s="58"/>
      <c r="D28" s="58">
        <v>0.15</v>
      </c>
    </row>
    <row r="29" ht="12.5" spans="2:10">
      <c r="B29" s="57" t="s">
        <v>39</v>
      </c>
      <c r="C29" s="58"/>
      <c r="D29" s="58">
        <v>0.15</v>
      </c>
      <c r="F29" s="297" t="s">
        <v>0</v>
      </c>
      <c r="G29" s="297" t="s">
        <v>40</v>
      </c>
      <c r="I29" s="297" t="s">
        <v>0</v>
      </c>
      <c r="J29" s="63" t="s">
        <v>41</v>
      </c>
    </row>
    <row r="30" ht="12.5" spans="2:10">
      <c r="B30" s="57" t="s">
        <v>42</v>
      </c>
      <c r="C30" s="58"/>
      <c r="D30" s="58">
        <v>0.15</v>
      </c>
      <c r="F30" s="57" t="s">
        <v>1</v>
      </c>
      <c r="G30" s="61">
        <v>0.075</v>
      </c>
      <c r="I30" s="57" t="s">
        <v>1</v>
      </c>
      <c r="J30" s="52">
        <v>800</v>
      </c>
    </row>
    <row r="31" ht="12.5" spans="2:10">
      <c r="B31" s="57" t="s">
        <v>43</v>
      </c>
      <c r="C31" s="58"/>
      <c r="D31" s="58">
        <v>0.15</v>
      </c>
      <c r="F31" s="57" t="s">
        <v>44</v>
      </c>
      <c r="G31" s="58">
        <v>0.14</v>
      </c>
      <c r="I31" s="57" t="s">
        <v>44</v>
      </c>
      <c r="J31" s="52">
        <v>32</v>
      </c>
    </row>
    <row r="32" ht="12.5" spans="2:10">
      <c r="B32" s="57" t="s">
        <v>45</v>
      </c>
      <c r="C32" s="58"/>
      <c r="D32" s="58">
        <v>0.15</v>
      </c>
      <c r="F32" s="57" t="s">
        <v>46</v>
      </c>
      <c r="G32" s="58">
        <v>0.16</v>
      </c>
      <c r="I32" s="57" t="s">
        <v>46</v>
      </c>
      <c r="J32" s="52">
        <v>128</v>
      </c>
    </row>
    <row r="33" ht="12.5" spans="2:10">
      <c r="B33" s="57" t="s">
        <v>47</v>
      </c>
      <c r="C33" s="58"/>
      <c r="D33" s="58">
        <v>0.2</v>
      </c>
      <c r="F33" s="57" t="s">
        <v>48</v>
      </c>
      <c r="G33" s="298">
        <v>0.18</v>
      </c>
      <c r="I33" s="57" t="s">
        <v>48</v>
      </c>
      <c r="J33" s="52">
        <v>680</v>
      </c>
    </row>
    <row r="34" ht="12.5" spans="2:10">
      <c r="B34" s="57" t="s">
        <v>5</v>
      </c>
      <c r="C34" s="58"/>
      <c r="D34" s="58">
        <v>0.2</v>
      </c>
      <c r="F34" s="57" t="s">
        <v>49</v>
      </c>
      <c r="G34" s="58">
        <v>0.2</v>
      </c>
      <c r="I34" s="57" t="s">
        <v>49</v>
      </c>
      <c r="J34" s="52">
        <v>11.1</v>
      </c>
    </row>
    <row r="35" ht="12.5" spans="2:10">
      <c r="B35" s="57" t="s">
        <v>50</v>
      </c>
      <c r="C35" s="58"/>
      <c r="D35" s="58">
        <v>0.2</v>
      </c>
      <c r="F35" s="57" t="s">
        <v>51</v>
      </c>
      <c r="G35" s="61">
        <v>0.181</v>
      </c>
      <c r="I35" s="57" t="s">
        <v>51</v>
      </c>
      <c r="J35" s="52">
        <v>13.5</v>
      </c>
    </row>
    <row r="36" ht="12.5" spans="2:10">
      <c r="B36" s="57" t="s">
        <v>52</v>
      </c>
      <c r="C36" s="58"/>
      <c r="D36" s="58">
        <v>0.2</v>
      </c>
      <c r="F36" s="57" t="s">
        <v>53</v>
      </c>
      <c r="G36" s="298">
        <v>0.18</v>
      </c>
      <c r="I36" s="57" t="s">
        <v>53</v>
      </c>
      <c r="J36" s="52">
        <v>680</v>
      </c>
    </row>
    <row r="37" ht="12.5" spans="2:10">
      <c r="B37" s="57" t="s">
        <v>54</v>
      </c>
      <c r="C37" s="58"/>
      <c r="D37" s="58">
        <v>0.2</v>
      </c>
      <c r="F37" s="57" t="s">
        <v>55</v>
      </c>
      <c r="G37" s="58">
        <v>0.18</v>
      </c>
      <c r="I37" s="57" t="s">
        <v>55</v>
      </c>
      <c r="J37" s="52">
        <v>4050</v>
      </c>
    </row>
    <row r="38" ht="12.5" spans="2:4">
      <c r="B38" s="57" t="s">
        <v>56</v>
      </c>
      <c r="C38" s="58"/>
      <c r="D38" s="58">
        <v>0.2</v>
      </c>
    </row>
    <row r="39" ht="12.5" spans="2:4">
      <c r="B39" s="57" t="s">
        <v>57</v>
      </c>
      <c r="C39" s="58"/>
      <c r="D39" s="58">
        <v>0.2</v>
      </c>
    </row>
    <row r="41" ht="12.5" spans="2:2">
      <c r="B41" s="52" t="s">
        <v>58</v>
      </c>
    </row>
  </sheetData>
  <mergeCells count="6">
    <mergeCell ref="D4:E4"/>
    <mergeCell ref="A12:B12"/>
    <mergeCell ref="A15:B15"/>
    <mergeCell ref="A16:B16"/>
    <mergeCell ref="A17:B17"/>
    <mergeCell ref="A8:A11"/>
  </mergeCells>
  <dataValidations count="3">
    <dataValidation type="list" allowBlank="1" showErrorMessage="1" sqref="B1">
      <formula1>$F$30:$F$37</formula1>
    </dataValidation>
    <dataValidation type="list" allowBlank="1" showErrorMessage="1" sqref="B2">
      <formula1>$F$24:$F$26</formula1>
    </dataValidation>
    <dataValidation type="list" allowBlank="1" showErrorMessage="1" sqref="B3">
      <formula1>$B$21:$B$39</formula1>
    </dataValidation>
  </dataValidations>
  <hyperlinks>
    <hyperlink ref="J29" r:id="rId2" display="FX"/>
  </hyperlink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41"/>
  <sheetViews>
    <sheetView workbookViewId="0">
      <selection activeCell="A1" sqref="A1"/>
    </sheetView>
  </sheetViews>
  <sheetFormatPr defaultColWidth="12.6636363636364" defaultRowHeight="15.75" customHeight="1"/>
  <cols>
    <col min="1" max="1" width="18.4454545454545" customWidth="1"/>
    <col min="2" max="2" width="31.3363636363636" customWidth="1"/>
    <col min="3" max="3" width="7.66363636363636" customWidth="1"/>
    <col min="5" max="5" width="15.4454545454545" customWidth="1"/>
    <col min="6" max="6" width="16.3363636363636" customWidth="1"/>
  </cols>
  <sheetData>
    <row r="1" ht="14.5" spans="1:2">
      <c r="A1" s="258" t="s">
        <v>0</v>
      </c>
      <c r="B1" s="259" t="s">
        <v>1</v>
      </c>
    </row>
    <row r="2" ht="14.5" spans="1:2">
      <c r="A2" s="258" t="s">
        <v>2</v>
      </c>
      <c r="B2" s="259" t="s">
        <v>3</v>
      </c>
    </row>
    <row r="3" ht="14.5" spans="1:2">
      <c r="A3" s="52" t="s">
        <v>4</v>
      </c>
      <c r="B3" s="259" t="s">
        <v>38</v>
      </c>
    </row>
    <row r="4" ht="14.5" spans="1:4">
      <c r="A4" s="260"/>
      <c r="B4" s="260"/>
      <c r="C4" s="260"/>
      <c r="D4" s="7" t="s">
        <v>6</v>
      </c>
    </row>
    <row r="5" ht="15.25" spans="1:5">
      <c r="A5" s="7" t="s">
        <v>7</v>
      </c>
      <c r="B5" s="7" t="s">
        <v>8</v>
      </c>
      <c r="C5" s="7"/>
      <c r="D5" s="7" t="s">
        <v>9</v>
      </c>
      <c r="E5" s="7" t="s">
        <v>10</v>
      </c>
    </row>
    <row r="6" ht="19.5" customHeight="1" spans="1:5">
      <c r="A6" s="261">
        <v>1</v>
      </c>
      <c r="B6" s="262" t="s">
        <v>11</v>
      </c>
      <c r="C6" s="262"/>
      <c r="D6" s="263">
        <v>1.42</v>
      </c>
      <c r="E6" s="264">
        <f t="shared" ref="E6:E7" si="0">D6/$D$15</f>
        <v>0.354370991490105</v>
      </c>
    </row>
    <row r="7" ht="19.5" customHeight="1" spans="1:5">
      <c r="A7" s="265">
        <v>2</v>
      </c>
      <c r="B7" s="266" t="s">
        <v>12</v>
      </c>
      <c r="C7" s="266"/>
      <c r="D7" s="267">
        <v>0.5</v>
      </c>
      <c r="E7" s="268">
        <f t="shared" si="0"/>
        <v>0.124778518130319</v>
      </c>
    </row>
    <row r="8" ht="19.5" customHeight="1" spans="1:5">
      <c r="A8" s="269">
        <v>3</v>
      </c>
      <c r="B8" s="266" t="s">
        <v>13</v>
      </c>
      <c r="C8" s="270"/>
      <c r="D8" s="270">
        <f>D9+D10+D11</f>
        <v>1.41925</v>
      </c>
      <c r="E8" s="268"/>
    </row>
    <row r="9" ht="19.5" customHeight="1" spans="1:5">
      <c r="A9" s="22"/>
      <c r="B9" s="266" t="s">
        <v>14</v>
      </c>
      <c r="C9" s="271">
        <f>VLOOKUP(B1,F30:G37,2,0)</f>
        <v>0.075</v>
      </c>
      <c r="D9" s="270">
        <f>VLOOKUP(B2,F24:G24,2,0)*(1+C9)</f>
        <v>0.09675</v>
      </c>
      <c r="E9" s="268">
        <f t="shared" ref="E9:E11" si="1">D9/$D$15</f>
        <v>0.0241446432582167</v>
      </c>
    </row>
    <row r="10" ht="19.5" customHeight="1" spans="1:5">
      <c r="A10" s="22"/>
      <c r="B10" s="266" t="s">
        <v>15</v>
      </c>
      <c r="C10" s="272">
        <v>90</v>
      </c>
      <c r="D10" s="270">
        <f>VLOOKUP(B2,F24:I26,4,0)*C10</f>
        <v>0.9225</v>
      </c>
      <c r="E10" s="273">
        <f t="shared" si="1"/>
        <v>0.230216365950438</v>
      </c>
    </row>
    <row r="11" ht="19.5" customHeight="1" spans="1:5">
      <c r="A11" s="25"/>
      <c r="B11" s="274" t="s">
        <v>16</v>
      </c>
      <c r="C11" s="275"/>
      <c r="D11" s="275">
        <f>VLOOKUP(B2,F23:H26,3,0)</f>
        <v>0.4</v>
      </c>
      <c r="E11" s="268">
        <f t="shared" si="1"/>
        <v>0.0998228145042549</v>
      </c>
    </row>
    <row r="12" ht="19.5" customHeight="1" spans="1:5">
      <c r="A12" s="276" t="s">
        <v>17</v>
      </c>
      <c r="B12" s="277"/>
      <c r="C12" s="278"/>
      <c r="D12" s="279">
        <f>D6+D7+D8</f>
        <v>3.33925</v>
      </c>
      <c r="E12" s="280"/>
    </row>
    <row r="13" ht="19.5" customHeight="1" spans="1:5">
      <c r="A13" s="261">
        <v>4</v>
      </c>
      <c r="B13" s="262" t="s">
        <v>18</v>
      </c>
      <c r="C13" s="281">
        <f>VLOOKUP(B3,B21:D39,3,0)</f>
        <v>0.15</v>
      </c>
      <c r="D13" s="282">
        <f>D12*C13</f>
        <v>0.5008875</v>
      </c>
      <c r="E13" s="283">
        <f t="shared" ref="E13:E14" si="2">D13/$D$15</f>
        <v>0.125</v>
      </c>
    </row>
    <row r="14" ht="19.5" customHeight="1" spans="1:5">
      <c r="A14" s="284">
        <v>5</v>
      </c>
      <c r="B14" s="285" t="s">
        <v>19</v>
      </c>
      <c r="C14" s="286">
        <v>0.05</v>
      </c>
      <c r="D14" s="287">
        <f>D12*C14</f>
        <v>0.1669625</v>
      </c>
      <c r="E14" s="288">
        <f t="shared" si="2"/>
        <v>0.0416666666666667</v>
      </c>
    </row>
    <row r="15" ht="19.5" customHeight="1" spans="1:5">
      <c r="A15" s="289" t="s">
        <v>20</v>
      </c>
      <c r="B15" s="49"/>
      <c r="C15" s="290"/>
      <c r="D15" s="290">
        <f>D12+D13+D14</f>
        <v>4.0071</v>
      </c>
      <c r="E15" s="291"/>
    </row>
    <row r="16" ht="17" spans="1:5">
      <c r="A16" s="289" t="s">
        <v>21</v>
      </c>
      <c r="B16" s="49"/>
      <c r="C16" s="290">
        <f>VLOOKUP(B1,I30:J37,2,0)</f>
        <v>800</v>
      </c>
      <c r="D16" s="292">
        <f>D15*800</f>
        <v>3205.68</v>
      </c>
      <c r="E16" s="291"/>
    </row>
    <row r="17" ht="17" spans="1:5">
      <c r="A17" s="289" t="s">
        <v>22</v>
      </c>
      <c r="B17" s="49"/>
      <c r="C17" s="293">
        <v>0.1</v>
      </c>
      <c r="D17" s="292">
        <f>D16*(1+C17)</f>
        <v>3526.248</v>
      </c>
      <c r="E17" s="291"/>
    </row>
    <row r="19" ht="12.5" spans="2:2">
      <c r="B19" s="294" t="s">
        <v>23</v>
      </c>
    </row>
    <row r="20" ht="12.5" spans="2:9">
      <c r="B20" s="56" t="s">
        <v>24</v>
      </c>
      <c r="C20" s="56"/>
      <c r="D20" s="56" t="s">
        <v>25</v>
      </c>
      <c r="G20" s="198"/>
      <c r="H20" s="198"/>
      <c r="I20" s="198"/>
    </row>
    <row r="21" ht="12.5" spans="2:9">
      <c r="B21" s="57" t="s">
        <v>26</v>
      </c>
      <c r="C21" s="58"/>
      <c r="D21" s="58">
        <v>0.06</v>
      </c>
      <c r="G21" s="198"/>
      <c r="H21" s="198"/>
      <c r="I21" s="198"/>
    </row>
    <row r="22" ht="13.25" spans="2:7">
      <c r="B22" s="57" t="s">
        <v>27</v>
      </c>
      <c r="C22" s="58"/>
      <c r="D22" s="58">
        <v>0.08</v>
      </c>
      <c r="G22" s="198"/>
    </row>
    <row r="23" ht="14" spans="2:9">
      <c r="B23" s="57" t="s">
        <v>28</v>
      </c>
      <c r="C23" s="58"/>
      <c r="D23" s="58">
        <v>0.08</v>
      </c>
      <c r="F23" s="295"/>
      <c r="G23" s="295" t="s">
        <v>29</v>
      </c>
      <c r="H23" s="295" t="s">
        <v>30</v>
      </c>
      <c r="I23" s="295" t="s">
        <v>31</v>
      </c>
    </row>
    <row r="24" ht="14" spans="2:9">
      <c r="B24" s="57" t="s">
        <v>32</v>
      </c>
      <c r="C24" s="58"/>
      <c r="D24" s="58">
        <v>0.08</v>
      </c>
      <c r="F24" s="295" t="s">
        <v>3</v>
      </c>
      <c r="G24" s="296">
        <v>0.09</v>
      </c>
      <c r="H24" s="296">
        <v>0.4</v>
      </c>
      <c r="I24" s="296">
        <v>0.01025</v>
      </c>
    </row>
    <row r="25" ht="14" spans="2:9">
      <c r="B25" s="57" t="s">
        <v>33</v>
      </c>
      <c r="C25" s="58"/>
      <c r="D25" s="58">
        <v>0.1</v>
      </c>
      <c r="F25" s="295" t="s">
        <v>34</v>
      </c>
      <c r="G25" s="296">
        <v>0.2</v>
      </c>
      <c r="H25" s="296">
        <v>0.6</v>
      </c>
      <c r="I25" s="296">
        <v>0.027</v>
      </c>
    </row>
    <row r="26" ht="14" spans="2:9">
      <c r="B26" s="57" t="s">
        <v>35</v>
      </c>
      <c r="C26" s="58"/>
      <c r="D26" s="58">
        <v>0.1</v>
      </c>
      <c r="F26" s="295" t="s">
        <v>36</v>
      </c>
      <c r="G26" s="296">
        <v>0.5</v>
      </c>
      <c r="H26" s="296">
        <v>1.3</v>
      </c>
      <c r="I26" s="296">
        <v>0.04725</v>
      </c>
    </row>
    <row r="27" ht="13.25" spans="2:4">
      <c r="B27" s="57" t="s">
        <v>37</v>
      </c>
      <c r="C27" s="58"/>
      <c r="D27" s="58">
        <v>0.1</v>
      </c>
    </row>
    <row r="28" ht="12.5" spans="2:4">
      <c r="B28" s="57" t="s">
        <v>38</v>
      </c>
      <c r="C28" s="58"/>
      <c r="D28" s="58">
        <v>0.15</v>
      </c>
    </row>
    <row r="29" ht="12.5" spans="2:10">
      <c r="B29" s="57" t="s">
        <v>39</v>
      </c>
      <c r="C29" s="58"/>
      <c r="D29" s="58">
        <v>0.15</v>
      </c>
      <c r="F29" s="297" t="s">
        <v>0</v>
      </c>
      <c r="G29" s="297" t="s">
        <v>40</v>
      </c>
      <c r="I29" s="297" t="s">
        <v>0</v>
      </c>
      <c r="J29" s="63" t="s">
        <v>41</v>
      </c>
    </row>
    <row r="30" ht="12.5" spans="2:10">
      <c r="B30" s="57" t="s">
        <v>42</v>
      </c>
      <c r="C30" s="58"/>
      <c r="D30" s="58">
        <v>0.15</v>
      </c>
      <c r="F30" s="57" t="s">
        <v>1</v>
      </c>
      <c r="G30" s="61">
        <v>0.075</v>
      </c>
      <c r="I30" s="57" t="s">
        <v>1</v>
      </c>
      <c r="J30" s="52">
        <v>800</v>
      </c>
    </row>
    <row r="31" ht="12.5" spans="2:10">
      <c r="B31" s="57" t="s">
        <v>43</v>
      </c>
      <c r="C31" s="58"/>
      <c r="D31" s="58">
        <v>0.15</v>
      </c>
      <c r="F31" s="57" t="s">
        <v>44</v>
      </c>
      <c r="G31" s="58">
        <v>0.14</v>
      </c>
      <c r="I31" s="57" t="s">
        <v>44</v>
      </c>
      <c r="J31" s="52">
        <v>32</v>
      </c>
    </row>
    <row r="32" ht="12.5" spans="2:10">
      <c r="B32" s="57" t="s">
        <v>45</v>
      </c>
      <c r="C32" s="58"/>
      <c r="D32" s="58">
        <v>0.15</v>
      </c>
      <c r="F32" s="57" t="s">
        <v>46</v>
      </c>
      <c r="G32" s="58">
        <v>0.16</v>
      </c>
      <c r="I32" s="57" t="s">
        <v>46</v>
      </c>
      <c r="J32" s="52">
        <v>128</v>
      </c>
    </row>
    <row r="33" ht="12.5" spans="2:10">
      <c r="B33" s="57" t="s">
        <v>47</v>
      </c>
      <c r="C33" s="58"/>
      <c r="D33" s="58">
        <v>0.2</v>
      </c>
      <c r="F33" s="57" t="s">
        <v>48</v>
      </c>
      <c r="G33" s="298">
        <v>0.18</v>
      </c>
      <c r="I33" s="57" t="s">
        <v>48</v>
      </c>
      <c r="J33" s="52">
        <v>680</v>
      </c>
    </row>
    <row r="34" ht="12.5" spans="2:10">
      <c r="B34" s="57" t="s">
        <v>5</v>
      </c>
      <c r="C34" s="58"/>
      <c r="D34" s="58">
        <v>0.2</v>
      </c>
      <c r="F34" s="57" t="s">
        <v>49</v>
      </c>
      <c r="G34" s="58">
        <v>0.2</v>
      </c>
      <c r="I34" s="57" t="s">
        <v>49</v>
      </c>
      <c r="J34" s="52">
        <v>11.1</v>
      </c>
    </row>
    <row r="35" ht="12.5" spans="2:10">
      <c r="B35" s="57" t="s">
        <v>50</v>
      </c>
      <c r="C35" s="58"/>
      <c r="D35" s="58">
        <v>0.2</v>
      </c>
      <c r="F35" s="57" t="s">
        <v>51</v>
      </c>
      <c r="G35" s="61">
        <v>0.181</v>
      </c>
      <c r="I35" s="57" t="s">
        <v>51</v>
      </c>
      <c r="J35" s="52">
        <v>13.5</v>
      </c>
    </row>
    <row r="36" ht="12.5" spans="2:10">
      <c r="B36" s="57" t="s">
        <v>52</v>
      </c>
      <c r="C36" s="58"/>
      <c r="D36" s="58">
        <v>0.2</v>
      </c>
      <c r="F36" s="57" t="s">
        <v>53</v>
      </c>
      <c r="G36" s="298">
        <v>0.18</v>
      </c>
      <c r="I36" s="57" t="s">
        <v>53</v>
      </c>
      <c r="J36" s="52">
        <v>680</v>
      </c>
    </row>
    <row r="37" ht="12.5" spans="2:10">
      <c r="B37" s="57" t="s">
        <v>54</v>
      </c>
      <c r="C37" s="58"/>
      <c r="D37" s="58">
        <v>0.2</v>
      </c>
      <c r="F37" s="57" t="s">
        <v>55</v>
      </c>
      <c r="G37" s="58">
        <v>0.18</v>
      </c>
      <c r="I37" s="57" t="s">
        <v>55</v>
      </c>
      <c r="J37" s="52">
        <v>4050</v>
      </c>
    </row>
    <row r="38" ht="12.5" spans="2:4">
      <c r="B38" s="57" t="s">
        <v>56</v>
      </c>
      <c r="C38" s="58"/>
      <c r="D38" s="58">
        <v>0.2</v>
      </c>
    </row>
    <row r="39" ht="12.5" spans="2:4">
      <c r="B39" s="57" t="s">
        <v>57</v>
      </c>
      <c r="C39" s="58"/>
      <c r="D39" s="58">
        <v>0.2</v>
      </c>
    </row>
    <row r="41" ht="12.5" spans="2:2">
      <c r="B41" s="52" t="s">
        <v>58</v>
      </c>
    </row>
  </sheetData>
  <mergeCells count="6">
    <mergeCell ref="D4:E4"/>
    <mergeCell ref="A12:B12"/>
    <mergeCell ref="A15:B15"/>
    <mergeCell ref="A16:B16"/>
    <mergeCell ref="A17:B17"/>
    <mergeCell ref="A8:A11"/>
  </mergeCells>
  <dataValidations count="3">
    <dataValidation type="list" allowBlank="1" showErrorMessage="1" sqref="B1">
      <formula1>$F$30:$F$37</formula1>
    </dataValidation>
    <dataValidation type="list" allowBlank="1" showErrorMessage="1" sqref="B2">
      <formula1>$F$24:$F$26</formula1>
    </dataValidation>
    <dataValidation type="list" allowBlank="1" showErrorMessage="1" sqref="B3">
      <formula1>$B$21:$B$39</formula1>
    </dataValidation>
  </dataValidations>
  <hyperlinks>
    <hyperlink ref="J29" r:id="rId2" display="FX"/>
  </hyperlink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N48"/>
  <sheetViews>
    <sheetView showGridLines="0" workbookViewId="0">
      <pane ySplit="3" topLeftCell="A4" activePane="bottomLeft" state="frozen"/>
      <selection/>
      <selection pane="bottomLeft" activeCell="B5" sqref="B5"/>
    </sheetView>
  </sheetViews>
  <sheetFormatPr defaultColWidth="12.6636363636364" defaultRowHeight="15.75" customHeight="1"/>
  <cols>
    <col min="1" max="1" width="19.6636363636364" customWidth="1"/>
    <col min="2" max="2" width="28.3363636363636" customWidth="1"/>
    <col min="3" max="3" width="16" customWidth="1"/>
    <col min="4" max="4" width="10.7818181818182" customWidth="1"/>
    <col min="5" max="5" width="34.6636363636364" customWidth="1"/>
    <col min="6" max="6" width="16" customWidth="1"/>
    <col min="7" max="7" width="21.1090909090909" customWidth="1"/>
    <col min="8" max="8" width="19.2181818181818" customWidth="1"/>
    <col min="9" max="9" width="32.4454545454545" customWidth="1"/>
    <col min="10" max="10" width="25.1090909090909" customWidth="1"/>
    <col min="11" max="11" width="26.1090909090909" customWidth="1"/>
    <col min="12" max="12" width="25.6636363636364" customWidth="1"/>
    <col min="13" max="13" width="25.2181818181818" customWidth="1"/>
    <col min="14" max="14" width="25.7818181818182" customWidth="1"/>
    <col min="15" max="15" width="23.8909090909091" customWidth="1"/>
    <col min="16" max="27" width="16" customWidth="1"/>
    <col min="28" max="28" width="17.1090909090909" customWidth="1"/>
  </cols>
  <sheetData>
    <row r="1" ht="12.5" spans="18:28">
      <c r="R1" s="52" t="s">
        <v>59</v>
      </c>
      <c r="T1" s="52" t="s">
        <v>59</v>
      </c>
      <c r="V1" s="52" t="s">
        <v>59</v>
      </c>
      <c r="X1" s="52" t="s">
        <v>59</v>
      </c>
      <c r="Z1" s="52" t="s">
        <v>59</v>
      </c>
      <c r="AB1" s="52" t="s">
        <v>59</v>
      </c>
    </row>
    <row r="2" ht="13" spans="1:40">
      <c r="A2" s="234"/>
      <c r="B2" s="234"/>
      <c r="C2" s="4"/>
      <c r="D2" s="4"/>
      <c r="E2" s="4" t="s">
        <v>60</v>
      </c>
      <c r="F2" s="4" t="s">
        <v>60</v>
      </c>
      <c r="G2" s="4" t="s">
        <v>60</v>
      </c>
      <c r="H2" s="64" t="s">
        <v>59</v>
      </c>
      <c r="I2" s="4" t="s">
        <v>60</v>
      </c>
      <c r="J2" s="4" t="s">
        <v>60</v>
      </c>
      <c r="K2" s="4" t="s">
        <v>60</v>
      </c>
      <c r="L2" s="4" t="s">
        <v>60</v>
      </c>
      <c r="M2" s="4" t="s">
        <v>60</v>
      </c>
      <c r="N2" s="4" t="s">
        <v>60</v>
      </c>
      <c r="O2" s="4" t="s">
        <v>60</v>
      </c>
      <c r="P2" s="4" t="s">
        <v>60</v>
      </c>
      <c r="Q2" s="72" t="s">
        <v>1</v>
      </c>
      <c r="R2" s="74"/>
      <c r="S2" s="72" t="s">
        <v>46</v>
      </c>
      <c r="T2" s="74"/>
      <c r="U2" s="72" t="s">
        <v>55</v>
      </c>
      <c r="V2" s="74"/>
      <c r="W2" s="72" t="s">
        <v>48</v>
      </c>
      <c r="X2" s="74"/>
      <c r="Y2" s="72" t="s">
        <v>53</v>
      </c>
      <c r="Z2" s="74"/>
      <c r="AA2" s="72" t="s">
        <v>51</v>
      </c>
      <c r="AB2" s="7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ht="12.5" spans="1:28">
      <c r="A3" s="52" t="s">
        <v>61</v>
      </c>
      <c r="B3" s="52" t="e">
        <f>#REF!</f>
        <v>#REF!</v>
      </c>
      <c r="C3" s="3" t="s">
        <v>62</v>
      </c>
      <c r="D3" s="3" t="s">
        <v>63</v>
      </c>
      <c r="E3" s="3" t="s">
        <v>64</v>
      </c>
      <c r="F3" s="198" t="s">
        <v>65</v>
      </c>
      <c r="G3" s="198" t="s">
        <v>66</v>
      </c>
      <c r="H3" s="198" t="s">
        <v>67</v>
      </c>
      <c r="I3" s="198" t="s">
        <v>68</v>
      </c>
      <c r="J3" s="198" t="s">
        <v>69</v>
      </c>
      <c r="K3" s="198" t="s">
        <v>70</v>
      </c>
      <c r="L3" s="198" t="s">
        <v>71</v>
      </c>
      <c r="M3" s="198" t="s">
        <v>72</v>
      </c>
      <c r="N3" s="198" t="s">
        <v>73</v>
      </c>
      <c r="O3" s="198" t="s">
        <v>74</v>
      </c>
      <c r="P3" s="198" t="s">
        <v>75</v>
      </c>
      <c r="Q3" s="248" t="s">
        <v>76</v>
      </c>
      <c r="R3" s="249" t="s">
        <v>77</v>
      </c>
      <c r="S3" s="248" t="s">
        <v>76</v>
      </c>
      <c r="T3" s="249" t="s">
        <v>77</v>
      </c>
      <c r="U3" s="248" t="s">
        <v>76</v>
      </c>
      <c r="V3" s="249" t="s">
        <v>77</v>
      </c>
      <c r="W3" s="248" t="s">
        <v>76</v>
      </c>
      <c r="X3" s="249" t="s">
        <v>77</v>
      </c>
      <c r="Y3" s="248" t="s">
        <v>76</v>
      </c>
      <c r="Z3" s="249" t="s">
        <v>77</v>
      </c>
      <c r="AA3" s="248" t="s">
        <v>76</v>
      </c>
      <c r="AB3" s="249" t="s">
        <v>77</v>
      </c>
    </row>
    <row r="4" ht="15.5" spans="1:28">
      <c r="A4" s="52" t="s">
        <v>78</v>
      </c>
      <c r="B4" s="52" t="e">
        <f>'To be filled by countries'!B3</f>
        <v>#REF!</v>
      </c>
      <c r="C4" s="126" t="s">
        <v>79</v>
      </c>
      <c r="D4" s="126" t="s">
        <v>80</v>
      </c>
      <c r="E4" s="126" t="s">
        <v>81</v>
      </c>
      <c r="F4" s="235" t="s">
        <v>82</v>
      </c>
      <c r="G4" s="236" t="s">
        <v>83</v>
      </c>
      <c r="H4" s="126"/>
      <c r="I4" s="126" t="s">
        <v>84</v>
      </c>
      <c r="J4" s="242" t="s">
        <v>85</v>
      </c>
      <c r="K4" s="243" t="s">
        <v>86</v>
      </c>
      <c r="L4" s="243" t="s">
        <v>87</v>
      </c>
      <c r="M4" s="243" t="s">
        <v>88</v>
      </c>
      <c r="N4" s="235"/>
      <c r="O4" s="235"/>
      <c r="P4" s="126"/>
      <c r="Q4" s="250">
        <f>'To be filled by countries'!O3</f>
        <v>1990</v>
      </c>
      <c r="R4" s="251"/>
      <c r="S4" s="250">
        <f>'To be filled by countries'!Z3</f>
        <v>0</v>
      </c>
      <c r="T4" s="251">
        <v>899</v>
      </c>
      <c r="U4" s="250">
        <f>'To be filled by countries'!AK3</f>
        <v>55000</v>
      </c>
      <c r="V4" s="251"/>
      <c r="W4" s="250">
        <f>'To be filled by countries'!AV3</f>
        <v>2500</v>
      </c>
      <c r="X4" s="251">
        <v>3999</v>
      </c>
      <c r="Y4" s="250">
        <f>'To be filled by countries'!BG3</f>
        <v>2500</v>
      </c>
      <c r="Z4" s="251"/>
      <c r="AA4" s="250">
        <f>'To be filled by countries'!BR3</f>
        <v>45</v>
      </c>
      <c r="AB4" s="251">
        <v>59</v>
      </c>
    </row>
    <row r="5" ht="15.5" spans="1:28">
      <c r="A5" s="52" t="s">
        <v>78</v>
      </c>
      <c r="B5" s="52" t="e">
        <f>'To be filled by countries'!B4</f>
        <v>#REF!</v>
      </c>
      <c r="C5" s="126" t="s">
        <v>79</v>
      </c>
      <c r="D5" s="126" t="s">
        <v>80</v>
      </c>
      <c r="E5" s="126" t="s">
        <v>89</v>
      </c>
      <c r="F5" s="237" t="s">
        <v>90</v>
      </c>
      <c r="G5" s="236" t="s">
        <v>91</v>
      </c>
      <c r="H5" s="126"/>
      <c r="I5" s="126" t="s">
        <v>92</v>
      </c>
      <c r="J5" s="244" t="s">
        <v>93</v>
      </c>
      <c r="K5" s="243" t="s">
        <v>94</v>
      </c>
      <c r="L5" s="243" t="s">
        <v>95</v>
      </c>
      <c r="M5" s="243" t="s">
        <v>96</v>
      </c>
      <c r="N5" s="235"/>
      <c r="O5" s="243" t="s">
        <v>97</v>
      </c>
      <c r="P5" s="126"/>
      <c r="Q5" s="250">
        <f>'To be filled by countries'!O4</f>
        <v>1390</v>
      </c>
      <c r="R5" s="251">
        <v>8050</v>
      </c>
      <c r="S5" s="250">
        <f>'To be filled by countries'!Z4</f>
        <v>799</v>
      </c>
      <c r="T5" s="251">
        <v>1199</v>
      </c>
      <c r="U5" s="250">
        <f>'To be filled by countries'!AK4</f>
        <v>40000</v>
      </c>
      <c r="V5" s="251"/>
      <c r="W5" s="250">
        <f>'To be filled by countries'!AV4</f>
        <v>3500</v>
      </c>
      <c r="X5" s="251">
        <v>7650</v>
      </c>
      <c r="Y5" s="250">
        <f>'To be filled by countries'!BG4</f>
        <v>3500</v>
      </c>
      <c r="Z5" s="251">
        <v>7500</v>
      </c>
      <c r="AA5" s="250">
        <f>'To be filled by countries'!BR4</f>
        <v>85</v>
      </c>
      <c r="AB5" s="251">
        <v>75</v>
      </c>
    </row>
    <row r="6" ht="15.5" spans="1:28">
      <c r="A6" s="52" t="s">
        <v>78</v>
      </c>
      <c r="B6" s="52" t="e">
        <f>'To be filled by countries'!B5</f>
        <v>#REF!</v>
      </c>
      <c r="C6" s="126" t="s">
        <v>98</v>
      </c>
      <c r="D6" s="126" t="s">
        <v>80</v>
      </c>
      <c r="E6" s="126" t="s">
        <v>89</v>
      </c>
      <c r="F6" s="238" t="s">
        <v>90</v>
      </c>
      <c r="G6" s="236" t="s">
        <v>99</v>
      </c>
      <c r="H6" s="126"/>
      <c r="I6" s="126" t="s">
        <v>100</v>
      </c>
      <c r="J6" s="243" t="s">
        <v>101</v>
      </c>
      <c r="K6" s="126"/>
      <c r="L6" s="243" t="s">
        <v>102</v>
      </c>
      <c r="M6" s="126" t="s">
        <v>103</v>
      </c>
      <c r="N6" s="243"/>
      <c r="O6" s="126"/>
      <c r="P6" s="126"/>
      <c r="Q6" s="250">
        <f>'To be filled by countries'!O5</f>
        <v>3990</v>
      </c>
      <c r="R6" s="251"/>
      <c r="S6" s="250">
        <f>'To be filled by countries'!Z5</f>
        <v>0</v>
      </c>
      <c r="T6" s="252"/>
      <c r="U6" s="250">
        <f>'To be filled by countries'!AK5</f>
        <v>40000</v>
      </c>
      <c r="V6" s="252"/>
      <c r="W6" s="250">
        <f>'To be filled by countries'!AV5</f>
        <v>3900</v>
      </c>
      <c r="X6" s="251">
        <v>5500</v>
      </c>
      <c r="Y6" s="250">
        <f>'To be filled by countries'!BG5</f>
        <v>3900</v>
      </c>
      <c r="Z6" s="252"/>
      <c r="AA6" s="250">
        <f>'To be filled by countries'!BR5</f>
        <v>72</v>
      </c>
      <c r="AB6" s="253"/>
    </row>
    <row r="7" ht="15.5" spans="1:28">
      <c r="A7" s="52" t="s">
        <v>78</v>
      </c>
      <c r="B7" s="52" t="e">
        <f>'To be filled by countries'!B6</f>
        <v>#REF!</v>
      </c>
      <c r="C7" s="126" t="s">
        <v>79</v>
      </c>
      <c r="D7" s="126" t="s">
        <v>80</v>
      </c>
      <c r="E7" s="126" t="s">
        <v>81</v>
      </c>
      <c r="F7" s="235" t="s">
        <v>104</v>
      </c>
      <c r="G7" s="235" t="s">
        <v>105</v>
      </c>
      <c r="H7" s="126">
        <v>860</v>
      </c>
      <c r="I7" s="126" t="s">
        <v>106</v>
      </c>
      <c r="J7" s="235" t="s">
        <v>107</v>
      </c>
      <c r="K7" s="235" t="s">
        <v>108</v>
      </c>
      <c r="L7" s="243" t="s">
        <v>109</v>
      </c>
      <c r="M7" s="243" t="s">
        <v>110</v>
      </c>
      <c r="N7" s="235" t="s">
        <v>111</v>
      </c>
      <c r="O7" s="235" t="s">
        <v>112</v>
      </c>
      <c r="P7" s="126"/>
      <c r="Q7" s="250">
        <f>'To be filled by countries'!O6</f>
        <v>2900</v>
      </c>
      <c r="R7" s="251">
        <v>4400</v>
      </c>
      <c r="S7" s="250">
        <f>'To be filled by countries'!Z6</f>
        <v>599</v>
      </c>
      <c r="T7" s="251">
        <v>612</v>
      </c>
      <c r="U7" s="250">
        <f>'To be filled by countries'!AK6</f>
        <v>40000</v>
      </c>
      <c r="V7" s="251">
        <v>14550</v>
      </c>
      <c r="W7" s="250">
        <f>'To be filled by countries'!AV6</f>
        <v>2500</v>
      </c>
      <c r="X7" s="251">
        <v>6800</v>
      </c>
      <c r="Y7" s="250">
        <f>'To be filled by countries'!BG6</f>
        <v>2500</v>
      </c>
      <c r="Z7" s="251"/>
      <c r="AA7" s="250">
        <f>'To be filled by countries'!BR6</f>
        <v>86</v>
      </c>
      <c r="AB7" s="253"/>
    </row>
    <row r="8" ht="15.5" spans="1:28">
      <c r="A8" s="52" t="s">
        <v>78</v>
      </c>
      <c r="B8" s="52" t="e">
        <f>'To be filled by countries'!B7</f>
        <v>#REF!</v>
      </c>
      <c r="C8" s="126" t="s">
        <v>79</v>
      </c>
      <c r="D8" s="126" t="s">
        <v>80</v>
      </c>
      <c r="E8" s="126" t="s">
        <v>81</v>
      </c>
      <c r="F8" s="126" t="s">
        <v>113</v>
      </c>
      <c r="G8" s="126" t="s">
        <v>114</v>
      </c>
      <c r="H8" s="126"/>
      <c r="I8" s="126" t="s">
        <v>115</v>
      </c>
      <c r="J8" s="243" t="s">
        <v>116</v>
      </c>
      <c r="K8" s="243" t="s">
        <v>117</v>
      </c>
      <c r="L8" s="126" t="s">
        <v>118</v>
      </c>
      <c r="M8" s="126"/>
      <c r="N8" s="126"/>
      <c r="O8" s="126" t="s">
        <v>119</v>
      </c>
      <c r="P8" s="126"/>
      <c r="Q8" s="250">
        <f>'To be filled by countries'!O7</f>
        <v>990</v>
      </c>
      <c r="R8" s="251">
        <v>1139</v>
      </c>
      <c r="S8" s="250">
        <f>'To be filled by countries'!Z7</f>
        <v>699</v>
      </c>
      <c r="T8" s="251">
        <v>260</v>
      </c>
      <c r="U8" s="250">
        <f>'To be filled by countries'!AK7</f>
        <v>15000</v>
      </c>
      <c r="V8" s="253"/>
      <c r="W8" s="250">
        <f>'To be filled by countries'!AV7</f>
        <v>2500</v>
      </c>
      <c r="X8" s="253"/>
      <c r="Y8" s="250">
        <f>'To be filled by countries'!BG7</f>
        <v>2500</v>
      </c>
      <c r="Z8" s="253"/>
      <c r="AA8" s="250">
        <f>'To be filled by countries'!BR7</f>
        <v>40</v>
      </c>
      <c r="AB8" s="253"/>
    </row>
    <row r="9" ht="15.5" spans="1:28">
      <c r="A9" s="52" t="s">
        <v>78</v>
      </c>
      <c r="B9" s="52" t="e">
        <f>'To be filled by countries'!B8</f>
        <v>#REF!</v>
      </c>
      <c r="C9" s="126" t="s">
        <v>98</v>
      </c>
      <c r="D9" s="126" t="s">
        <v>80</v>
      </c>
      <c r="E9" s="126" t="s">
        <v>89</v>
      </c>
      <c r="F9" s="126" t="s">
        <v>90</v>
      </c>
      <c r="G9" s="236" t="s">
        <v>120</v>
      </c>
      <c r="H9" s="126"/>
      <c r="I9" s="126" t="s">
        <v>121</v>
      </c>
      <c r="J9" s="243" t="s">
        <v>122</v>
      </c>
      <c r="K9" s="243" t="s">
        <v>123</v>
      </c>
      <c r="L9" s="243" t="s">
        <v>124</v>
      </c>
      <c r="M9" s="126"/>
      <c r="N9" s="243" t="s">
        <v>125</v>
      </c>
      <c r="O9" s="243" t="s">
        <v>126</v>
      </c>
      <c r="P9" s="126"/>
      <c r="Q9" s="250">
        <f>'To be filled by countries'!O8</f>
        <v>3800</v>
      </c>
      <c r="R9" s="251">
        <v>4800</v>
      </c>
      <c r="S9" s="250">
        <f>'To be filled by countries'!Z8</f>
        <v>900</v>
      </c>
      <c r="T9" s="251">
        <v>738</v>
      </c>
      <c r="U9" s="250">
        <f>'To be filled by countries'!AK8</f>
        <v>35000</v>
      </c>
      <c r="V9" s="251">
        <v>29000</v>
      </c>
      <c r="W9" s="250">
        <f>'To be filled by countries'!AV8</f>
        <v>3500</v>
      </c>
      <c r="X9" s="251">
        <v>5200</v>
      </c>
      <c r="Y9" s="250">
        <f>'To be filled by countries'!BG8</f>
        <v>3500</v>
      </c>
      <c r="Z9" s="251">
        <v>4199</v>
      </c>
      <c r="AA9" s="250">
        <f>'To be filled by countries'!BR8</f>
        <v>95</v>
      </c>
      <c r="AB9" s="253"/>
    </row>
    <row r="10" ht="15.5" spans="1:28">
      <c r="A10" s="52" t="s">
        <v>78</v>
      </c>
      <c r="B10" s="52" t="e">
        <f>'To be filled by countries'!B9</f>
        <v>#REF!</v>
      </c>
      <c r="C10" s="126" t="s">
        <v>79</v>
      </c>
      <c r="D10" s="126" t="s">
        <v>80</v>
      </c>
      <c r="E10" s="126" t="s">
        <v>89</v>
      </c>
      <c r="F10" s="235" t="s">
        <v>127</v>
      </c>
      <c r="G10" s="235" t="s">
        <v>128</v>
      </c>
      <c r="H10" s="126">
        <v>7223</v>
      </c>
      <c r="I10" s="126" t="s">
        <v>129</v>
      </c>
      <c r="J10" s="244" t="s">
        <v>130</v>
      </c>
      <c r="K10" s="235"/>
      <c r="L10" s="242" t="s">
        <v>131</v>
      </c>
      <c r="M10" s="243" t="s">
        <v>132</v>
      </c>
      <c r="N10" s="235"/>
      <c r="O10" s="242" t="s">
        <v>133</v>
      </c>
      <c r="P10" s="126"/>
      <c r="Q10" s="250">
        <f>'To be filled by countries'!O9</f>
        <v>3000</v>
      </c>
      <c r="R10" s="251">
        <v>3900</v>
      </c>
      <c r="S10" s="250">
        <f>'To be filled by countries'!Z9</f>
        <v>0</v>
      </c>
      <c r="T10" s="251">
        <v>699</v>
      </c>
      <c r="U10" s="250" t="str">
        <f>'To be filled by countries'!AK9</f>
        <v>Not there on local market</v>
      </c>
      <c r="V10" s="251">
        <v>35000</v>
      </c>
      <c r="W10" s="250">
        <f>'To be filled by countries'!AV9</f>
        <v>4000</v>
      </c>
      <c r="X10" s="251">
        <v>4500</v>
      </c>
      <c r="Y10" s="250">
        <f>'To be filled by countries'!BG9</f>
        <v>4000</v>
      </c>
      <c r="Z10" s="253"/>
      <c r="AA10" s="250">
        <f>'To be filled by countries'!BR9</f>
        <v>78</v>
      </c>
      <c r="AB10" s="251">
        <v>75</v>
      </c>
    </row>
    <row r="11" ht="14" spans="1:28">
      <c r="A11" s="52" t="s">
        <v>134</v>
      </c>
      <c r="B11" s="52" t="e">
        <f>'To be filled by countries'!B10</f>
        <v>#REF!</v>
      </c>
      <c r="C11" s="126" t="s">
        <v>79</v>
      </c>
      <c r="D11" s="126" t="s">
        <v>135</v>
      </c>
      <c r="E11" s="126" t="s">
        <v>136</v>
      </c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 t="s">
        <v>137</v>
      </c>
      <c r="Q11" s="250">
        <f>'To be filled by countries'!O10</f>
        <v>3000</v>
      </c>
      <c r="R11" s="252"/>
      <c r="S11" s="250">
        <f>'To be filled by countries'!Z10</f>
        <v>675</v>
      </c>
      <c r="T11" s="252"/>
      <c r="U11" s="250">
        <f>'To be filled by countries'!AK10</f>
        <v>30000</v>
      </c>
      <c r="V11" s="253"/>
      <c r="W11" s="250">
        <f>'To be filled by countries'!AV10</f>
        <v>2000</v>
      </c>
      <c r="X11" s="253"/>
      <c r="Y11" s="250">
        <f>'To be filled by countries'!BG10</f>
        <v>2000</v>
      </c>
      <c r="Z11" s="253"/>
      <c r="AA11" s="250">
        <f>'To be filled by countries'!BR10</f>
        <v>60</v>
      </c>
      <c r="AB11" s="253"/>
    </row>
    <row r="12" ht="14" spans="1:28">
      <c r="A12" s="52" t="s">
        <v>134</v>
      </c>
      <c r="B12" s="52" t="e">
        <f>'To be filled by countries'!B11</f>
        <v>#REF!</v>
      </c>
      <c r="C12" s="126"/>
      <c r="D12" s="126" t="s">
        <v>135</v>
      </c>
      <c r="E12" s="126" t="s">
        <v>136</v>
      </c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 t="s">
        <v>137</v>
      </c>
      <c r="Q12" s="250">
        <f>'To be filled by countries'!O11</f>
        <v>2300</v>
      </c>
      <c r="R12" s="252"/>
      <c r="S12" s="250">
        <f>'To be filled by countries'!Z11</f>
        <v>1000</v>
      </c>
      <c r="T12" s="252"/>
      <c r="U12" s="250">
        <f>'To be filled by countries'!AK11</f>
        <v>35000</v>
      </c>
      <c r="V12" s="253"/>
      <c r="W12" s="250">
        <f>'To be filled by countries'!AV11</f>
        <v>3000</v>
      </c>
      <c r="X12" s="253"/>
      <c r="Y12" s="250">
        <f>'To be filled by countries'!BG11</f>
        <v>3000</v>
      </c>
      <c r="Z12" s="253"/>
      <c r="AA12" s="250">
        <f>'To be filled by countries'!BR11</f>
        <v>40</v>
      </c>
      <c r="AB12" s="253"/>
    </row>
    <row r="13" ht="14" spans="1:28">
      <c r="A13" s="52" t="s">
        <v>134</v>
      </c>
      <c r="B13" s="52" t="e">
        <f>'To be filled by countries'!B12</f>
        <v>#REF!</v>
      </c>
      <c r="C13" s="126" t="s">
        <v>98</v>
      </c>
      <c r="D13" s="126" t="s">
        <v>135</v>
      </c>
      <c r="E13" s="126" t="s">
        <v>136</v>
      </c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 t="s">
        <v>137</v>
      </c>
      <c r="Q13" s="250">
        <f>'To be filled by countries'!O12</f>
        <v>1800</v>
      </c>
      <c r="R13" s="252"/>
      <c r="S13" s="250" t="str">
        <f>'To be filled by countries'!Z12</f>
        <v>below 1000</v>
      </c>
      <c r="T13" s="252"/>
      <c r="U13" s="250">
        <f>'To be filled by countries'!AK12</f>
        <v>30000</v>
      </c>
      <c r="V13" s="253"/>
      <c r="W13" s="250">
        <f>'To be filled by countries'!AV12</f>
        <v>5000</v>
      </c>
      <c r="X13" s="253"/>
      <c r="Y13" s="250">
        <f>'To be filled by countries'!BG12</f>
        <v>5000</v>
      </c>
      <c r="Z13" s="253"/>
      <c r="AA13" s="250">
        <f>'To be filled by countries'!BR12</f>
        <v>100</v>
      </c>
      <c r="AB13" s="253"/>
    </row>
    <row r="14" ht="14" spans="1:28">
      <c r="A14" s="52" t="s">
        <v>138</v>
      </c>
      <c r="B14" s="52" t="e">
        <f>'To be filled by countries'!B13</f>
        <v>#REF!</v>
      </c>
      <c r="C14" s="126" t="s">
        <v>98</v>
      </c>
      <c r="D14" s="126" t="s">
        <v>139</v>
      </c>
      <c r="E14" s="126" t="s">
        <v>89</v>
      </c>
      <c r="F14" s="126" t="s">
        <v>140</v>
      </c>
      <c r="G14" s="236" t="s">
        <v>141</v>
      </c>
      <c r="H14" s="126"/>
      <c r="I14" s="126" t="s">
        <v>142</v>
      </c>
      <c r="J14" s="126" t="s">
        <v>143</v>
      </c>
      <c r="K14" s="126"/>
      <c r="L14" s="126" t="s">
        <v>144</v>
      </c>
      <c r="M14" s="126"/>
      <c r="N14" s="126"/>
      <c r="O14" s="126" t="s">
        <v>145</v>
      </c>
      <c r="P14" s="126"/>
      <c r="Q14" s="250">
        <f>'To be filled by countries'!O13</f>
        <v>800</v>
      </c>
      <c r="R14" s="252"/>
      <c r="S14" s="250">
        <f>'To be filled by countries'!Z13</f>
        <v>600</v>
      </c>
      <c r="T14" s="252"/>
      <c r="U14" s="250">
        <f>'To be filled by countries'!AK13</f>
        <v>0</v>
      </c>
      <c r="V14" s="253"/>
      <c r="W14" s="250">
        <f>'To be filled by countries'!AV13</f>
        <v>1500</v>
      </c>
      <c r="X14" s="253"/>
      <c r="Y14" s="250">
        <f>'To be filled by countries'!BG13</f>
        <v>1500</v>
      </c>
      <c r="Z14" s="253"/>
      <c r="AA14" s="250">
        <f>'To be filled by countries'!BR13</f>
        <v>55</v>
      </c>
      <c r="AB14" s="253"/>
    </row>
    <row r="15" ht="14" spans="1:28">
      <c r="A15" s="52" t="s">
        <v>138</v>
      </c>
      <c r="B15" s="52" t="e">
        <f>'To be filled by countries'!B14</f>
        <v>#REF!</v>
      </c>
      <c r="C15" s="126"/>
      <c r="D15" s="126" t="s">
        <v>139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P15" s="126"/>
      <c r="Q15" s="250">
        <f>'To be filled by countries'!O14</f>
        <v>800</v>
      </c>
      <c r="R15" s="252"/>
      <c r="S15" s="250">
        <f>'To be filled by countries'!Z14</f>
        <v>479</v>
      </c>
      <c r="T15" s="252"/>
      <c r="U15" s="250">
        <f>'To be filled by countries'!AK14</f>
        <v>0</v>
      </c>
      <c r="V15" s="253"/>
      <c r="W15" s="250">
        <f>'To be filled by countries'!AV14</f>
        <v>1350</v>
      </c>
      <c r="X15" s="253"/>
      <c r="Y15" s="250">
        <f>'To be filled by countries'!BG14</f>
        <v>1350</v>
      </c>
      <c r="Z15" s="253"/>
      <c r="AA15" s="250">
        <f>'To be filled by countries'!BR14</f>
        <v>10</v>
      </c>
      <c r="AB15" s="253"/>
    </row>
    <row r="16" ht="14" spans="1:28">
      <c r="A16" s="52" t="s">
        <v>146</v>
      </c>
      <c r="B16" s="52" t="e">
        <f>'To be filled by countries'!B15</f>
        <v>#REF!</v>
      </c>
      <c r="C16" s="126" t="s">
        <v>79</v>
      </c>
      <c r="D16" s="126" t="s">
        <v>147</v>
      </c>
      <c r="E16" s="126" t="s">
        <v>89</v>
      </c>
      <c r="F16" s="239" t="s">
        <v>148</v>
      </c>
      <c r="G16" s="239" t="s">
        <v>149</v>
      </c>
      <c r="H16" s="126"/>
      <c r="I16" s="240" t="s">
        <v>150</v>
      </c>
      <c r="J16" s="239" t="s">
        <v>151</v>
      </c>
      <c r="K16" s="239" t="s">
        <v>152</v>
      </c>
      <c r="L16" s="240" t="s">
        <v>153</v>
      </c>
      <c r="M16" s="126"/>
      <c r="N16" s="240" t="s">
        <v>154</v>
      </c>
      <c r="O16" s="240" t="s">
        <v>155</v>
      </c>
      <c r="P16" s="126"/>
      <c r="Q16" s="250">
        <f>'To be filled by countries'!O15</f>
        <v>2500</v>
      </c>
      <c r="R16" s="251">
        <v>3999</v>
      </c>
      <c r="S16" s="250">
        <f>'To be filled by countries'!Z15</f>
        <v>699</v>
      </c>
      <c r="T16" s="251">
        <v>1197</v>
      </c>
      <c r="U16" s="250">
        <f>'To be filled by countries'!AK15</f>
        <v>0</v>
      </c>
      <c r="V16" s="253"/>
      <c r="W16" s="250">
        <f>'To be filled by countries'!AV15</f>
        <v>4900</v>
      </c>
      <c r="X16" s="253"/>
      <c r="Y16" s="250">
        <f>'To be filled by countries'!BG15</f>
        <v>4900</v>
      </c>
      <c r="Z16" s="251">
        <v>6369</v>
      </c>
      <c r="AA16" s="250">
        <f>'To be filled by countries'!BR15</f>
        <v>100</v>
      </c>
      <c r="AB16" s="253"/>
    </row>
    <row r="17" ht="14" spans="1:28">
      <c r="A17" s="52" t="s">
        <v>146</v>
      </c>
      <c r="B17" s="52" t="e">
        <f>'To be filled by countries'!B16</f>
        <v>#REF!</v>
      </c>
      <c r="C17" s="126" t="s">
        <v>98</v>
      </c>
      <c r="D17" s="126" t="s">
        <v>147</v>
      </c>
      <c r="E17" s="240" t="s">
        <v>89</v>
      </c>
      <c r="F17" s="126" t="s">
        <v>113</v>
      </c>
      <c r="G17" s="126" t="s">
        <v>156</v>
      </c>
      <c r="H17" s="126"/>
      <c r="I17" s="126" t="s">
        <v>157</v>
      </c>
      <c r="J17" s="126" t="s">
        <v>158</v>
      </c>
      <c r="K17" s="126" t="s">
        <v>159</v>
      </c>
      <c r="L17" s="126"/>
      <c r="M17" s="126"/>
      <c r="N17" s="126"/>
      <c r="O17" s="126" t="s">
        <v>160</v>
      </c>
      <c r="P17" s="126"/>
      <c r="Q17" s="250">
        <f>'To be filled by countries'!O16</f>
        <v>2800</v>
      </c>
      <c r="R17" s="252"/>
      <c r="S17" s="250">
        <f>'To be filled by countries'!Z16</f>
        <v>600</v>
      </c>
      <c r="T17" s="252"/>
      <c r="U17" s="250">
        <f>'To be filled by countries'!AK16</f>
        <v>0</v>
      </c>
      <c r="V17" s="253"/>
      <c r="W17" s="250">
        <f>'To be filled by countries'!AV16</f>
        <v>3500</v>
      </c>
      <c r="X17" s="253"/>
      <c r="Y17" s="250">
        <f>'To be filled by countries'!BG16</f>
        <v>3500</v>
      </c>
      <c r="Z17" s="253"/>
      <c r="AA17" s="250">
        <f>'To be filled by countries'!BR16</f>
        <v>65</v>
      </c>
      <c r="AB17" s="253"/>
    </row>
    <row r="18" ht="14" spans="1:28">
      <c r="A18" s="52" t="s">
        <v>146</v>
      </c>
      <c r="B18" s="52" t="e">
        <f>'To be filled by countries'!B17</f>
        <v>#REF!</v>
      </c>
      <c r="C18" s="126" t="s">
        <v>98</v>
      </c>
      <c r="D18" s="126" t="s">
        <v>147</v>
      </c>
      <c r="E18" s="240" t="s">
        <v>136</v>
      </c>
      <c r="F18" s="240" t="s">
        <v>161</v>
      </c>
      <c r="G18" s="240" t="s">
        <v>162</v>
      </c>
      <c r="H18" s="126"/>
      <c r="I18" s="126"/>
      <c r="J18" s="245" t="s">
        <v>163</v>
      </c>
      <c r="K18" s="245" t="s">
        <v>164</v>
      </c>
      <c r="L18" s="245" t="s">
        <v>165</v>
      </c>
      <c r="M18" s="245" t="s">
        <v>166</v>
      </c>
      <c r="N18" s="245" t="s">
        <v>167</v>
      </c>
      <c r="O18" s="245" t="s">
        <v>168</v>
      </c>
      <c r="P18" s="126"/>
      <c r="Q18" s="250">
        <f>'To be filled by countries'!O17</f>
        <v>3000</v>
      </c>
      <c r="R18" s="252"/>
      <c r="S18" s="250">
        <f>'To be filled by countries'!Z17</f>
        <v>1200</v>
      </c>
      <c r="T18" s="252"/>
      <c r="U18" s="250">
        <f>'To be filled by countries'!AK17</f>
        <v>0</v>
      </c>
      <c r="V18" s="253"/>
      <c r="W18" s="250">
        <f>'To be filled by countries'!AV17</f>
        <v>6900</v>
      </c>
      <c r="X18" s="253"/>
      <c r="Y18" s="250">
        <f>'To be filled by countries'!BG17</f>
        <v>6900</v>
      </c>
      <c r="Z18" s="253"/>
      <c r="AA18" s="250">
        <f>'To be filled by countries'!BR17</f>
        <v>150</v>
      </c>
      <c r="AB18" s="253"/>
    </row>
    <row r="19" ht="14" spans="1:28">
      <c r="A19" s="52" t="s">
        <v>169</v>
      </c>
      <c r="B19" s="52" t="e">
        <f>'To be filled by countries'!B18</f>
        <v>#REF!</v>
      </c>
      <c r="C19" s="126"/>
      <c r="D19" s="126" t="s">
        <v>139</v>
      </c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250">
        <f>'To be filled by countries'!O18</f>
        <v>1500</v>
      </c>
      <c r="R19" s="252"/>
      <c r="S19" s="250">
        <f>'To be filled by countries'!Z18</f>
        <v>390</v>
      </c>
      <c r="T19" s="252"/>
      <c r="U19" s="250">
        <f>'To be filled by countries'!AK18</f>
        <v>0</v>
      </c>
      <c r="V19" s="253"/>
      <c r="W19" s="250">
        <f>'To be filled by countries'!AV18</f>
        <v>1000</v>
      </c>
      <c r="X19" s="253"/>
      <c r="Y19" s="250">
        <f>'To be filled by countries'!BG18</f>
        <v>1000</v>
      </c>
      <c r="Z19" s="253"/>
      <c r="AA19" s="250">
        <f>'To be filled by countries'!BR18</f>
        <v>54</v>
      </c>
      <c r="AB19" s="253"/>
    </row>
    <row r="20" ht="14" spans="1:28">
      <c r="A20" s="52" t="s">
        <v>169</v>
      </c>
      <c r="B20" s="52" t="e">
        <f>'To be filled by countries'!B19</f>
        <v>#REF!</v>
      </c>
      <c r="C20" s="126"/>
      <c r="D20" s="126" t="s">
        <v>139</v>
      </c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250">
        <f>'To be filled by countries'!O19</f>
        <v>1000</v>
      </c>
      <c r="R20" s="252"/>
      <c r="S20" s="250">
        <f>'To be filled by countries'!Z19</f>
        <v>300</v>
      </c>
      <c r="T20" s="252"/>
      <c r="U20" s="250">
        <f>'To be filled by countries'!AK19</f>
        <v>0</v>
      </c>
      <c r="V20" s="253"/>
      <c r="W20" s="250">
        <f>'To be filled by countries'!AV19</f>
        <v>1000</v>
      </c>
      <c r="X20" s="253"/>
      <c r="Y20" s="250">
        <f>'To be filled by countries'!BG19</f>
        <v>1000</v>
      </c>
      <c r="Z20" s="253"/>
      <c r="AA20" s="250">
        <f>'To be filled by countries'!BR19</f>
        <v>32</v>
      </c>
      <c r="AB20" s="253"/>
    </row>
    <row r="21" ht="14" spans="1:28">
      <c r="A21" s="52" t="s">
        <v>169</v>
      </c>
      <c r="B21" s="52" t="e">
        <f>'To be filled by countries'!B20</f>
        <v>#REF!</v>
      </c>
      <c r="C21" s="126"/>
      <c r="D21" s="126" t="s">
        <v>139</v>
      </c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250">
        <f>'To be filled by countries'!O20</f>
        <v>1800</v>
      </c>
      <c r="R21" s="252"/>
      <c r="S21" s="250">
        <f>'To be filled by countries'!Z20</f>
        <v>600</v>
      </c>
      <c r="T21" s="252"/>
      <c r="U21" s="250">
        <f>'To be filled by countries'!AK20</f>
        <v>0</v>
      </c>
      <c r="V21" s="253"/>
      <c r="W21" s="250">
        <f>'To be filled by countries'!AV20</f>
        <v>1500</v>
      </c>
      <c r="X21" s="253"/>
      <c r="Y21" s="250">
        <f>'To be filled by countries'!BG20</f>
        <v>1500</v>
      </c>
      <c r="Z21" s="253"/>
      <c r="AA21" s="250">
        <f>'To be filled by countries'!BR20</f>
        <v>24</v>
      </c>
      <c r="AB21" s="253"/>
    </row>
    <row r="22" ht="14" spans="1:28">
      <c r="A22" s="52" t="s">
        <v>169</v>
      </c>
      <c r="B22" s="52" t="e">
        <f>'To be filled by countries'!B21</f>
        <v>#REF!</v>
      </c>
      <c r="C22" s="126"/>
      <c r="D22" s="126" t="s">
        <v>139</v>
      </c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250">
        <f>'To be filled by countries'!O21</f>
        <v>4500</v>
      </c>
      <c r="R22" s="252"/>
      <c r="S22" s="250">
        <f>'To be filled by countries'!Z21</f>
        <v>1090</v>
      </c>
      <c r="T22" s="252"/>
      <c r="U22" s="250">
        <f>'To be filled by countries'!AK21</f>
        <v>0</v>
      </c>
      <c r="V22" s="253"/>
      <c r="W22" s="250">
        <f>'To be filled by countries'!AV21</f>
        <v>3900</v>
      </c>
      <c r="X22" s="253"/>
      <c r="Y22" s="250">
        <f>'To be filled by countries'!BG21</f>
        <v>3900</v>
      </c>
      <c r="Z22" s="253"/>
      <c r="AA22" s="250">
        <f>'To be filled by countries'!BR21</f>
        <v>67</v>
      </c>
      <c r="AB22" s="253"/>
    </row>
    <row r="23" ht="14" spans="1:28">
      <c r="A23" s="52" t="s">
        <v>138</v>
      </c>
      <c r="B23" s="52" t="e">
        <f>'To be filled by countries'!B22</f>
        <v>#REF!</v>
      </c>
      <c r="C23" s="126" t="s">
        <v>98</v>
      </c>
      <c r="D23" s="126" t="s">
        <v>139</v>
      </c>
      <c r="E23" s="126" t="s">
        <v>89</v>
      </c>
      <c r="F23" s="237" t="s">
        <v>170</v>
      </c>
      <c r="G23" s="236" t="s">
        <v>171</v>
      </c>
      <c r="H23" s="126"/>
      <c r="I23" s="126" t="s">
        <v>172</v>
      </c>
      <c r="J23" s="126" t="s">
        <v>173</v>
      </c>
      <c r="K23" s="126" t="s">
        <v>174</v>
      </c>
      <c r="L23" s="126" t="s">
        <v>175</v>
      </c>
      <c r="M23" s="126" t="s">
        <v>176</v>
      </c>
      <c r="N23" s="126"/>
      <c r="O23" s="126" t="s">
        <v>177</v>
      </c>
      <c r="P23" s="126"/>
      <c r="Q23" s="250">
        <f>'To be filled by countries'!O22</f>
        <v>3000</v>
      </c>
      <c r="R23" s="252"/>
      <c r="S23" s="250" t="str">
        <f>'To be filled by countries'!Z22</f>
        <v>below 1000</v>
      </c>
      <c r="T23" s="252"/>
      <c r="U23" s="250">
        <f>'To be filled by countries'!AK22</f>
        <v>0</v>
      </c>
      <c r="V23" s="253"/>
      <c r="W23" s="250">
        <f>'To be filled by countries'!AV22</f>
        <v>4500</v>
      </c>
      <c r="X23" s="253"/>
      <c r="Y23" s="250">
        <f>'To be filled by countries'!BG22</f>
        <v>4500</v>
      </c>
      <c r="Z23" s="253"/>
      <c r="AA23" s="250">
        <f>'To be filled by countries'!BR22</f>
        <v>194</v>
      </c>
      <c r="AB23" s="253"/>
    </row>
    <row r="24" ht="14" spans="1:28">
      <c r="A24" s="52" t="s">
        <v>138</v>
      </c>
      <c r="B24" s="52" t="e">
        <f>'To be filled by countries'!B23</f>
        <v>#REF!</v>
      </c>
      <c r="C24" s="126"/>
      <c r="D24" s="126" t="s">
        <v>139</v>
      </c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250">
        <f>'To be filled by countries'!O23</f>
        <v>3800</v>
      </c>
      <c r="R24" s="252"/>
      <c r="S24" s="250">
        <f>'To be filled by countries'!Z23</f>
        <v>699</v>
      </c>
      <c r="T24" s="252"/>
      <c r="U24" s="250">
        <f>'To be filled by countries'!AK23</f>
        <v>0</v>
      </c>
      <c r="V24" s="253"/>
      <c r="W24" s="250">
        <f>'To be filled by countries'!AV23</f>
        <v>4500</v>
      </c>
      <c r="X24" s="253"/>
      <c r="Y24" s="250">
        <f>'To be filled by countries'!BG23</f>
        <v>4500</v>
      </c>
      <c r="Z24" s="253"/>
      <c r="AA24" s="250">
        <f>'To be filled by countries'!BR23</f>
        <v>105</v>
      </c>
      <c r="AB24" s="253"/>
    </row>
    <row r="25" ht="14" spans="1:28">
      <c r="A25" s="52" t="s">
        <v>146</v>
      </c>
      <c r="B25" s="52" t="e">
        <f>'To be filled by countries'!B24</f>
        <v>#REF!</v>
      </c>
      <c r="C25" s="126"/>
      <c r="D25" s="126" t="s">
        <v>147</v>
      </c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250">
        <f>'To be filled by countries'!O24</f>
        <v>1700</v>
      </c>
      <c r="R25" s="252"/>
      <c r="S25" s="250">
        <f>'To be filled by countries'!Z24</f>
        <v>500</v>
      </c>
      <c r="T25" s="252"/>
      <c r="U25" s="250">
        <f>'To be filled by countries'!AK24</f>
        <v>0</v>
      </c>
      <c r="V25" s="253"/>
      <c r="W25" s="250">
        <f>'To be filled by countries'!AV24</f>
        <v>3000</v>
      </c>
      <c r="X25" s="253"/>
      <c r="Y25" s="250">
        <f>'To be filled by countries'!BG24</f>
        <v>3000</v>
      </c>
      <c r="Z25" s="253"/>
      <c r="AA25" s="250">
        <f>'To be filled by countries'!BR24</f>
        <v>39</v>
      </c>
      <c r="AB25" s="253"/>
    </row>
    <row r="26" ht="14" spans="1:28">
      <c r="A26" s="52" t="s">
        <v>178</v>
      </c>
      <c r="B26" s="52" t="e">
        <f>'To be filled by countries'!B25</f>
        <v>#REF!</v>
      </c>
      <c r="C26" s="126" t="s">
        <v>79</v>
      </c>
      <c r="D26" s="126" t="s">
        <v>179</v>
      </c>
      <c r="E26" s="126" t="s">
        <v>136</v>
      </c>
      <c r="F26" s="126" t="s">
        <v>180</v>
      </c>
      <c r="G26" s="126" t="s">
        <v>181</v>
      </c>
      <c r="H26" s="126"/>
      <c r="I26" s="126"/>
      <c r="J26" s="242" t="s">
        <v>182</v>
      </c>
      <c r="K26" s="126"/>
      <c r="L26" s="126"/>
      <c r="M26" s="126"/>
      <c r="N26" s="126"/>
      <c r="O26" s="126"/>
      <c r="P26" s="126"/>
      <c r="Q26" s="250">
        <f>'To be filled by countries'!O25</f>
        <v>6900</v>
      </c>
      <c r="R26" s="252">
        <v>9200</v>
      </c>
      <c r="S26" s="250">
        <f>'To be filled by countries'!Z25</f>
        <v>1200</v>
      </c>
      <c r="T26" s="252"/>
      <c r="U26" s="250">
        <f>'To be filled by countries'!AK25</f>
        <v>90000</v>
      </c>
      <c r="V26" s="253"/>
      <c r="W26" s="250">
        <f>'To be filled by countries'!AV25</f>
        <v>5900</v>
      </c>
      <c r="X26" s="253"/>
      <c r="Y26" s="250">
        <f>'To be filled by countries'!BG25</f>
        <v>5900</v>
      </c>
      <c r="Z26" s="253"/>
      <c r="AA26" s="250">
        <f>'To be filled by countries'!BR25</f>
        <v>145</v>
      </c>
      <c r="AB26" s="253"/>
    </row>
    <row r="27" ht="14" spans="1:28">
      <c r="A27" s="52" t="s">
        <v>178</v>
      </c>
      <c r="B27" s="52" t="e">
        <f>'To be filled by countries'!B26</f>
        <v>#REF!</v>
      </c>
      <c r="C27" s="126" t="s">
        <v>79</v>
      </c>
      <c r="D27" s="126" t="s">
        <v>179</v>
      </c>
      <c r="E27" s="126" t="s">
        <v>136</v>
      </c>
      <c r="F27" s="126" t="s">
        <v>180</v>
      </c>
      <c r="G27" s="126" t="s">
        <v>183</v>
      </c>
      <c r="H27" s="126"/>
      <c r="I27" s="126"/>
      <c r="J27" s="242" t="s">
        <v>184</v>
      </c>
      <c r="K27" s="126"/>
      <c r="L27" s="126"/>
      <c r="M27" s="126"/>
      <c r="N27" s="126"/>
      <c r="O27" s="126"/>
      <c r="P27" s="126"/>
      <c r="Q27" s="250">
        <f>'To be filled by countries'!O26</f>
        <v>4300</v>
      </c>
      <c r="R27" s="252">
        <v>7000</v>
      </c>
      <c r="S27" s="250">
        <f>'To be filled by countries'!Z26</f>
        <v>709</v>
      </c>
      <c r="T27" s="252"/>
      <c r="U27" s="250">
        <f>'To be filled by countries'!AK26</f>
        <v>45000</v>
      </c>
      <c r="V27" s="253"/>
      <c r="W27" s="250">
        <f>'To be filled by countries'!AV26</f>
        <v>3900</v>
      </c>
      <c r="X27" s="253"/>
      <c r="Y27" s="250">
        <f>'To be filled by countries'!BG26</f>
        <v>3900</v>
      </c>
      <c r="Z27" s="253"/>
      <c r="AA27" s="250">
        <f>'To be filled by countries'!BR26</f>
        <v>75</v>
      </c>
      <c r="AB27" s="253"/>
    </row>
    <row r="28" ht="14" spans="1:28">
      <c r="A28" s="52" t="s">
        <v>185</v>
      </c>
      <c r="B28" s="52" t="e">
        <f>'To be filled by countries'!B27</f>
        <v>#REF!</v>
      </c>
      <c r="C28" s="126" t="s">
        <v>79</v>
      </c>
      <c r="D28" s="126" t="s">
        <v>186</v>
      </c>
      <c r="E28" s="126" t="s">
        <v>81</v>
      </c>
      <c r="F28" s="126" t="s">
        <v>187</v>
      </c>
      <c r="G28" s="126" t="s">
        <v>188</v>
      </c>
      <c r="H28" s="126"/>
      <c r="I28" s="126" t="s">
        <v>189</v>
      </c>
      <c r="J28" s="126" t="s">
        <v>190</v>
      </c>
      <c r="K28" s="126"/>
      <c r="L28" s="126" t="s">
        <v>191</v>
      </c>
      <c r="M28" s="126"/>
      <c r="N28" s="126"/>
      <c r="O28" s="126"/>
      <c r="P28" s="126" t="s">
        <v>192</v>
      </c>
      <c r="Q28" s="250">
        <f>'To be filled by countries'!O27</f>
        <v>2500</v>
      </c>
      <c r="R28" s="251"/>
      <c r="S28" s="250">
        <f>'To be filled by countries'!Z27</f>
        <v>628</v>
      </c>
      <c r="T28" s="252"/>
      <c r="U28" s="250">
        <f>'To be filled by countries'!AK27</f>
        <v>0</v>
      </c>
      <c r="V28" s="253"/>
      <c r="W28" s="250">
        <f>'To be filled by countries'!AV27</f>
        <v>2500</v>
      </c>
      <c r="X28" s="251">
        <v>2390</v>
      </c>
      <c r="Y28" s="250">
        <f>'To be filled by countries'!BG27</f>
        <v>2500</v>
      </c>
      <c r="Z28" s="253"/>
      <c r="AA28" s="250">
        <f>'To be filled by countries'!BR27</f>
        <v>45</v>
      </c>
      <c r="AB28" s="253"/>
    </row>
    <row r="29" ht="14" spans="1:28">
      <c r="A29" s="52" t="s">
        <v>185</v>
      </c>
      <c r="B29" s="52" t="e">
        <f>'To be filled by countries'!B28</f>
        <v>#REF!</v>
      </c>
      <c r="C29" s="126" t="s">
        <v>79</v>
      </c>
      <c r="D29" s="126" t="s">
        <v>186</v>
      </c>
      <c r="E29" s="126" t="s">
        <v>81</v>
      </c>
      <c r="F29" s="126" t="s">
        <v>187</v>
      </c>
      <c r="G29" s="126" t="s">
        <v>193</v>
      </c>
      <c r="H29" s="126"/>
      <c r="I29" s="126" t="s">
        <v>194</v>
      </c>
      <c r="J29" s="126" t="s">
        <v>195</v>
      </c>
      <c r="K29" s="126" t="s">
        <v>196</v>
      </c>
      <c r="L29" s="52" t="s">
        <v>197</v>
      </c>
      <c r="M29" s="126"/>
      <c r="N29" s="126" t="s">
        <v>198</v>
      </c>
      <c r="O29" s="126" t="s">
        <v>199</v>
      </c>
      <c r="P29" s="126"/>
      <c r="Q29" s="250">
        <f>'To be filled by countries'!O28</f>
        <v>3900</v>
      </c>
      <c r="R29" s="251"/>
      <c r="S29" s="250">
        <f>'To be filled by countries'!Z28</f>
        <v>740</v>
      </c>
      <c r="T29" s="251">
        <v>480</v>
      </c>
      <c r="U29" s="250">
        <f>'To be filled by countries'!AK28</f>
        <v>0</v>
      </c>
      <c r="V29" s="251">
        <v>13600</v>
      </c>
      <c r="W29" s="250">
        <f>'To be filled by countries'!AV28</f>
        <v>2900</v>
      </c>
      <c r="X29" s="251"/>
      <c r="Y29" s="250">
        <f>'To be filled by countries'!BG28</f>
        <v>2900</v>
      </c>
      <c r="Z29" s="251"/>
      <c r="AA29" s="250">
        <f>'To be filled by countries'!BR28</f>
        <v>68</v>
      </c>
      <c r="AB29" s="253"/>
    </row>
    <row r="30" ht="14" spans="1:28">
      <c r="A30" s="52" t="s">
        <v>178</v>
      </c>
      <c r="B30" s="52" t="e">
        <f>'To be filled by countries'!B29</f>
        <v>#REF!</v>
      </c>
      <c r="C30" s="126" t="s">
        <v>79</v>
      </c>
      <c r="D30" s="126" t="s">
        <v>200</v>
      </c>
      <c r="E30" s="126" t="s">
        <v>81</v>
      </c>
      <c r="F30" s="235" t="s">
        <v>201</v>
      </c>
      <c r="G30" s="126" t="s">
        <v>202</v>
      </c>
      <c r="H30" s="126"/>
      <c r="I30" s="126" t="s">
        <v>189</v>
      </c>
      <c r="J30" s="126"/>
      <c r="K30" s="126"/>
      <c r="L30" s="126" t="s">
        <v>203</v>
      </c>
      <c r="M30" s="126"/>
      <c r="N30" s="126"/>
      <c r="O30" s="126"/>
      <c r="P30" s="126" t="s">
        <v>204</v>
      </c>
      <c r="Q30" s="250">
        <f>'To be filled by countries'!O29</f>
        <v>2000</v>
      </c>
      <c r="R30" s="252"/>
      <c r="S30" s="250">
        <f>'To be filled by countries'!Z29</f>
        <v>0</v>
      </c>
      <c r="T30" s="252"/>
      <c r="U30" s="250">
        <f>'To be filled by countries'!AK29</f>
        <v>0</v>
      </c>
      <c r="V30" s="253"/>
      <c r="W30" s="250">
        <f>'To be filled by countries'!AV29</f>
        <v>2900</v>
      </c>
      <c r="X30" s="251">
        <v>3100</v>
      </c>
      <c r="Y30" s="250">
        <f>'To be filled by countries'!BG29</f>
        <v>2900</v>
      </c>
      <c r="Z30" s="253"/>
      <c r="AA30" s="250">
        <f>'To be filled by countries'!BR29</f>
        <v>35</v>
      </c>
      <c r="AB30" s="253"/>
    </row>
    <row r="31" ht="14" spans="1:28">
      <c r="A31" s="52" t="s">
        <v>178</v>
      </c>
      <c r="B31" s="52" t="e">
        <f>'To be filled by countries'!B30</f>
        <v>#REF!</v>
      </c>
      <c r="C31" s="126" t="s">
        <v>79</v>
      </c>
      <c r="D31" s="126" t="s">
        <v>200</v>
      </c>
      <c r="E31" s="126" t="s">
        <v>81</v>
      </c>
      <c r="F31" s="235" t="s">
        <v>201</v>
      </c>
      <c r="G31" s="235" t="s">
        <v>205</v>
      </c>
      <c r="H31" s="126">
        <v>1353</v>
      </c>
      <c r="I31" s="126" t="s">
        <v>206</v>
      </c>
      <c r="J31" s="235" t="s">
        <v>207</v>
      </c>
      <c r="K31" s="235" t="s">
        <v>208</v>
      </c>
      <c r="L31" s="235" t="s">
        <v>209</v>
      </c>
      <c r="M31" s="235" t="s">
        <v>210</v>
      </c>
      <c r="N31" s="235" t="s">
        <v>211</v>
      </c>
      <c r="O31" s="235" t="s">
        <v>212</v>
      </c>
      <c r="P31" s="126"/>
      <c r="Q31" s="250">
        <f>'To be filled by countries'!O30</f>
        <v>2500</v>
      </c>
      <c r="R31" s="251">
        <v>3100</v>
      </c>
      <c r="S31" s="250">
        <f>'To be filled by countries'!Z30</f>
        <v>0</v>
      </c>
      <c r="T31" s="251">
        <v>649</v>
      </c>
      <c r="U31" s="250">
        <f>'To be filled by countries'!AK30</f>
        <v>0</v>
      </c>
      <c r="V31" s="251">
        <v>16900</v>
      </c>
      <c r="W31" s="250">
        <f>'To be filled by countries'!AV30</f>
        <v>2500</v>
      </c>
      <c r="X31" s="251">
        <v>2890</v>
      </c>
      <c r="Y31" s="250">
        <f>'To be filled by countries'!BG30</f>
        <v>2500</v>
      </c>
      <c r="Z31" s="251">
        <v>3300</v>
      </c>
      <c r="AA31" s="250">
        <f>'To be filled by countries'!BR30</f>
        <v>63</v>
      </c>
      <c r="AB31" s="251">
        <v>56</v>
      </c>
    </row>
    <row r="32" ht="14" spans="1:28">
      <c r="A32" s="52" t="s">
        <v>178</v>
      </c>
      <c r="B32" s="52" t="e">
        <f>'To be filled by countries'!B31</f>
        <v>#REF!</v>
      </c>
      <c r="C32" s="126" t="s">
        <v>79</v>
      </c>
      <c r="D32" s="126" t="s">
        <v>200</v>
      </c>
      <c r="E32" s="126" t="s">
        <v>81</v>
      </c>
      <c r="F32" s="235" t="s">
        <v>201</v>
      </c>
      <c r="G32" s="126" t="s">
        <v>213</v>
      </c>
      <c r="H32" s="126"/>
      <c r="I32" s="126" t="s">
        <v>189</v>
      </c>
      <c r="J32" s="126"/>
      <c r="K32" s="126"/>
      <c r="L32" s="246" t="s">
        <v>214</v>
      </c>
      <c r="M32" s="126"/>
      <c r="N32" s="126"/>
      <c r="O32" s="126"/>
      <c r="P32" s="126" t="s">
        <v>215</v>
      </c>
      <c r="Q32" s="250">
        <f>'To be filled by countries'!O31</f>
        <v>3500</v>
      </c>
      <c r="R32" s="252"/>
      <c r="S32" s="250">
        <f>'To be filled by countries'!Z31</f>
        <v>700</v>
      </c>
      <c r="T32" s="252"/>
      <c r="U32" s="250">
        <f>'To be filled by countries'!AK31</f>
        <v>0</v>
      </c>
      <c r="V32" s="253"/>
      <c r="W32" s="250">
        <f>'To be filled by countries'!AV31</f>
        <v>3900</v>
      </c>
      <c r="X32" s="251"/>
      <c r="Y32" s="250">
        <f>'To be filled by countries'!BG31</f>
        <v>3900</v>
      </c>
      <c r="Z32" s="253"/>
      <c r="AA32" s="250">
        <f>'To be filled by countries'!BR31</f>
        <v>69</v>
      </c>
      <c r="AB32" s="253"/>
    </row>
    <row r="33" ht="14" spans="1:28">
      <c r="A33" s="52" t="s">
        <v>178</v>
      </c>
      <c r="B33" s="52" t="e">
        <f>'To be filled by countries'!B32</f>
        <v>#REF!</v>
      </c>
      <c r="C33" s="126" t="s">
        <v>79</v>
      </c>
      <c r="D33" s="126" t="s">
        <v>200</v>
      </c>
      <c r="E33" s="126" t="s">
        <v>81</v>
      </c>
      <c r="F33" s="126" t="s">
        <v>216</v>
      </c>
      <c r="G33" s="126" t="s">
        <v>217</v>
      </c>
      <c r="H33" s="126"/>
      <c r="I33" s="126" t="s">
        <v>1</v>
      </c>
      <c r="J33" s="126" t="s">
        <v>218</v>
      </c>
      <c r="K33" s="126"/>
      <c r="L33" s="126"/>
      <c r="M33" s="126"/>
      <c r="N33" s="126"/>
      <c r="O33" s="126"/>
      <c r="P33" s="126" t="s">
        <v>219</v>
      </c>
      <c r="Q33" s="250">
        <f>'To be filled by countries'!O32</f>
        <v>3500</v>
      </c>
      <c r="R33" s="251">
        <v>4659</v>
      </c>
      <c r="S33" s="250">
        <f>'To be filled by countries'!Z32</f>
        <v>0</v>
      </c>
      <c r="T33" s="252"/>
      <c r="U33" s="250">
        <f>'To be filled by countries'!AK32</f>
        <v>0</v>
      </c>
      <c r="V33" s="253"/>
      <c r="W33" s="250">
        <f>'To be filled by countries'!AV32</f>
        <v>13900</v>
      </c>
      <c r="X33" s="253"/>
      <c r="Y33" s="250">
        <f>'To be filled by countries'!BG32</f>
        <v>13900</v>
      </c>
      <c r="Z33" s="253"/>
      <c r="AA33" s="250">
        <f>'To be filled by countries'!BR32</f>
        <v>81</v>
      </c>
      <c r="AB33" s="253"/>
    </row>
    <row r="34" ht="14" spans="1:28">
      <c r="A34" s="52" t="s">
        <v>178</v>
      </c>
      <c r="B34" s="52" t="e">
        <f>'To be filled by countries'!B33</f>
        <v>#REF!</v>
      </c>
      <c r="C34" s="126" t="s">
        <v>79</v>
      </c>
      <c r="D34" s="126" t="s">
        <v>179</v>
      </c>
      <c r="E34" s="126" t="s">
        <v>220</v>
      </c>
      <c r="F34" s="241" t="s">
        <v>221</v>
      </c>
      <c r="G34" s="126" t="s">
        <v>222</v>
      </c>
      <c r="H34" s="126"/>
      <c r="I34" s="126"/>
      <c r="J34" s="126" t="s">
        <v>223</v>
      </c>
      <c r="K34" s="126"/>
      <c r="L34" s="126"/>
      <c r="M34" s="126"/>
      <c r="N34" s="126"/>
      <c r="O34" s="126"/>
      <c r="P34" s="126"/>
      <c r="Q34" s="250">
        <f>'To be filled by countries'!O33</f>
        <v>4990</v>
      </c>
      <c r="R34" s="252">
        <v>16100</v>
      </c>
      <c r="S34" s="250">
        <f>'To be filled by countries'!Z33</f>
        <v>0</v>
      </c>
      <c r="T34" s="252"/>
      <c r="U34" s="250">
        <f>'To be filled by countries'!AK33</f>
        <v>0</v>
      </c>
      <c r="V34" s="253"/>
      <c r="W34" s="250">
        <f>'To be filled by countries'!AV33</f>
        <v>3900</v>
      </c>
      <c r="X34" s="253"/>
      <c r="Y34" s="250">
        <f>'To be filled by countries'!BG33</f>
        <v>3900</v>
      </c>
      <c r="Z34" s="253"/>
      <c r="AA34" s="250">
        <f>'To be filled by countries'!BR33</f>
        <v>89</v>
      </c>
      <c r="AB34" s="253"/>
    </row>
    <row r="35" ht="14" spans="1:28">
      <c r="A35" s="52" t="s">
        <v>185</v>
      </c>
      <c r="B35" s="52" t="e">
        <f>'To be filled by countries'!B34</f>
        <v>#REF!</v>
      </c>
      <c r="C35" s="126"/>
      <c r="D35" s="126" t="s">
        <v>179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250">
        <f>'To be filled by countries'!O34</f>
        <v>2000</v>
      </c>
      <c r="R35" s="252"/>
      <c r="S35" s="250">
        <f>'To be filled by countries'!Z34</f>
        <v>369</v>
      </c>
      <c r="T35" s="252"/>
      <c r="U35" s="250">
        <f>'To be filled by countries'!AK34</f>
        <v>0</v>
      </c>
      <c r="V35" s="253"/>
      <c r="W35" s="250">
        <f>'To be filled by countries'!AV34</f>
        <v>2500</v>
      </c>
      <c r="X35" s="253"/>
      <c r="Y35" s="250">
        <f>'To be filled by countries'!BG34</f>
        <v>2500</v>
      </c>
      <c r="Z35" s="253"/>
      <c r="AA35" s="250">
        <f>'To be filled by countries'!BR34</f>
        <v>36</v>
      </c>
      <c r="AB35" s="253"/>
    </row>
    <row r="36" ht="14" spans="1:28">
      <c r="A36" s="199" t="s">
        <v>224</v>
      </c>
      <c r="B36" s="52" t="e">
        <f>'To be filled by countries'!B35</f>
        <v>#REF!</v>
      </c>
      <c r="C36" s="126" t="s">
        <v>98</v>
      </c>
      <c r="D36" s="126" t="s">
        <v>225</v>
      </c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250">
        <f>'To be filled by countries'!O35</f>
        <v>5000</v>
      </c>
      <c r="R36" s="252"/>
      <c r="S36" s="250">
        <f>'To be filled by countries'!Z35</f>
        <v>0</v>
      </c>
      <c r="T36" s="252"/>
      <c r="U36" s="250">
        <f>'To be filled by countries'!AK35</f>
        <v>0</v>
      </c>
      <c r="V36" s="253"/>
      <c r="W36" s="250">
        <f>'To be filled by countries'!AV35</f>
        <v>5900</v>
      </c>
      <c r="X36" s="253"/>
      <c r="Y36" s="250">
        <f>'To be filled by countries'!BG35</f>
        <v>5900</v>
      </c>
      <c r="Z36" s="253"/>
      <c r="AA36" s="250">
        <f>'To be filled by countries'!BR35</f>
        <v>179</v>
      </c>
      <c r="AB36" s="253"/>
    </row>
    <row r="37" ht="14" spans="1:28">
      <c r="A37" s="199" t="s">
        <v>224</v>
      </c>
      <c r="B37" s="52" t="e">
        <f>'To be filled by countries'!B36</f>
        <v>#REF!</v>
      </c>
      <c r="C37" s="126" t="s">
        <v>98</v>
      </c>
      <c r="D37" s="126" t="s">
        <v>225</v>
      </c>
      <c r="E37" s="126"/>
      <c r="F37" s="126" t="s">
        <v>226</v>
      </c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250">
        <f>'To be filled by countries'!O36</f>
        <v>1000</v>
      </c>
      <c r="R37" s="252"/>
      <c r="S37" s="250">
        <f>'To be filled by countries'!Z36</f>
        <v>259</v>
      </c>
      <c r="T37" s="252"/>
      <c r="U37" s="250">
        <f>'To be filled by countries'!AK36</f>
        <v>0</v>
      </c>
      <c r="V37" s="253"/>
      <c r="W37" s="250">
        <f>'To be filled by countries'!AV36</f>
        <v>2000</v>
      </c>
      <c r="X37" s="253"/>
      <c r="Y37" s="250">
        <f>'To be filled by countries'!BG36</f>
        <v>2000</v>
      </c>
      <c r="Z37" s="253"/>
      <c r="AA37" s="250">
        <f>'To be filled by countries'!BR36</f>
        <v>20</v>
      </c>
      <c r="AB37" s="253"/>
    </row>
    <row r="38" ht="14" spans="1:28">
      <c r="A38" s="199" t="s">
        <v>224</v>
      </c>
      <c r="B38" s="52" t="e">
        <f>'To be filled by countries'!B37</f>
        <v>#REF!</v>
      </c>
      <c r="C38" s="126"/>
      <c r="D38" s="126" t="s">
        <v>225</v>
      </c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250">
        <f>'To be filled by countries'!O37</f>
        <v>3000</v>
      </c>
      <c r="R38" s="252"/>
      <c r="S38" s="250">
        <f>'To be filled by countries'!Z37</f>
        <v>899</v>
      </c>
      <c r="T38" s="252"/>
      <c r="U38" s="250">
        <f>'To be filled by countries'!AK37</f>
        <v>0</v>
      </c>
      <c r="V38" s="253"/>
      <c r="W38" s="250">
        <f>'To be filled by countries'!AV37</f>
        <v>1900</v>
      </c>
      <c r="X38" s="253"/>
      <c r="Y38" s="250">
        <f>'To be filled by countries'!BG37</f>
        <v>0</v>
      </c>
      <c r="Z38" s="253"/>
      <c r="AA38" s="250">
        <f>'To be filled by countries'!BR37</f>
        <v>30</v>
      </c>
      <c r="AB38" s="253"/>
    </row>
    <row r="39" ht="14" spans="1:28">
      <c r="A39" s="199" t="s">
        <v>224</v>
      </c>
      <c r="B39" s="52" t="e">
        <f>'To be filled by countries'!B38</f>
        <v>#REF!</v>
      </c>
      <c r="C39" s="126"/>
      <c r="D39" s="126" t="s">
        <v>225</v>
      </c>
      <c r="E39" s="126" t="s">
        <v>136</v>
      </c>
      <c r="F39" s="126" t="s">
        <v>227</v>
      </c>
      <c r="G39" s="126" t="s">
        <v>228</v>
      </c>
      <c r="H39" s="126">
        <v>1</v>
      </c>
      <c r="I39" s="126" t="s">
        <v>229</v>
      </c>
      <c r="J39" s="126" t="s">
        <v>230</v>
      </c>
      <c r="K39" s="126"/>
      <c r="L39" s="126"/>
      <c r="M39" s="126"/>
      <c r="N39" s="126"/>
      <c r="O39" s="126"/>
      <c r="P39" s="126"/>
      <c r="Q39" s="250">
        <f>'To be filled by countries'!O38</f>
        <v>3000</v>
      </c>
      <c r="R39" s="251">
        <v>6999</v>
      </c>
      <c r="S39" s="250">
        <f>'To be filled by countries'!Z38</f>
        <v>0</v>
      </c>
      <c r="T39" s="252"/>
      <c r="U39" s="250">
        <f>'To be filled by countries'!AK38</f>
        <v>0</v>
      </c>
      <c r="V39" s="253"/>
      <c r="W39" s="250">
        <f>'To be filled by countries'!AV38</f>
        <v>7900</v>
      </c>
      <c r="X39" s="253"/>
      <c r="Y39" s="250">
        <f>'To be filled by countries'!BG38</f>
        <v>7900</v>
      </c>
      <c r="Z39" s="253"/>
      <c r="AA39" s="250">
        <f>'To be filled by countries'!BR38</f>
        <v>193</v>
      </c>
      <c r="AB39" s="253"/>
    </row>
    <row r="40" ht="14" spans="1:28">
      <c r="A40" s="199" t="s">
        <v>224</v>
      </c>
      <c r="B40" s="52" t="e">
        <f>'To be filled by countries'!B39</f>
        <v>#REF!</v>
      </c>
      <c r="C40" s="126"/>
      <c r="D40" s="126" t="s">
        <v>225</v>
      </c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250">
        <f>'To be filled by countries'!O39</f>
        <v>3500</v>
      </c>
      <c r="R40" s="251"/>
      <c r="S40" s="250">
        <f>'To be filled by countries'!Z39</f>
        <v>599</v>
      </c>
      <c r="T40" s="252"/>
      <c r="U40" s="250">
        <f>'To be filled by countries'!AK39</f>
        <v>0</v>
      </c>
      <c r="V40" s="253"/>
      <c r="W40" s="250">
        <f>'To be filled by countries'!AV39</f>
        <v>3500</v>
      </c>
      <c r="X40" s="253"/>
      <c r="Y40" s="250">
        <f>'To be filled by countries'!BG39</f>
        <v>3500</v>
      </c>
      <c r="Z40" s="253"/>
      <c r="AA40" s="250">
        <f>'To be filled by countries'!BR39</f>
        <v>0</v>
      </c>
      <c r="AB40" s="253"/>
    </row>
    <row r="41" ht="14" spans="1:28">
      <c r="A41" s="52" t="s">
        <v>231</v>
      </c>
      <c r="B41" s="52" t="e">
        <f>'To be filled by countries'!B40</f>
        <v>#REF!</v>
      </c>
      <c r="C41" s="126" t="s">
        <v>79</v>
      </c>
      <c r="D41" s="126" t="s">
        <v>135</v>
      </c>
      <c r="E41" s="126" t="s">
        <v>89</v>
      </c>
      <c r="F41" s="126" t="s">
        <v>232</v>
      </c>
      <c r="G41" s="126" t="s">
        <v>233</v>
      </c>
      <c r="H41" s="126"/>
      <c r="I41" s="126" t="s">
        <v>234</v>
      </c>
      <c r="J41" s="126"/>
      <c r="K41" s="126" t="s">
        <v>235</v>
      </c>
      <c r="L41" s="126" t="s">
        <v>236</v>
      </c>
      <c r="M41" s="126"/>
      <c r="N41" s="126"/>
      <c r="O41" s="126" t="s">
        <v>237</v>
      </c>
      <c r="P41" s="126"/>
      <c r="Q41" s="250">
        <f>'To be filled by countries'!O40</f>
        <v>3500</v>
      </c>
      <c r="R41" s="252"/>
      <c r="S41" s="250">
        <f>'To be filled by countries'!Z40</f>
        <v>0</v>
      </c>
      <c r="T41" s="251">
        <v>1670</v>
      </c>
      <c r="U41" s="250">
        <f>'To be filled by countries'!AK40</f>
        <v>0</v>
      </c>
      <c r="V41" s="253"/>
      <c r="W41" s="250">
        <f>'To be filled by countries'!AV40</f>
        <v>3900</v>
      </c>
      <c r="X41" s="251">
        <v>8900</v>
      </c>
      <c r="Y41" s="250">
        <f>'To be filled by countries'!BG40</f>
        <v>3900</v>
      </c>
      <c r="Z41" s="251">
        <v>8000</v>
      </c>
      <c r="AA41" s="250">
        <f>'To be filled by countries'!BR40</f>
        <v>94</v>
      </c>
      <c r="AB41" s="253"/>
    </row>
    <row r="42" ht="28.5" customHeight="1" spans="1:28">
      <c r="A42" s="52" t="s">
        <v>231</v>
      </c>
      <c r="B42" s="52" t="e">
        <f>'To be filled by countries'!B41</f>
        <v>#REF!</v>
      </c>
      <c r="C42" s="126" t="s">
        <v>79</v>
      </c>
      <c r="D42" s="126" t="s">
        <v>135</v>
      </c>
      <c r="E42" s="126" t="s">
        <v>89</v>
      </c>
      <c r="F42" s="126" t="s">
        <v>238</v>
      </c>
      <c r="G42" s="126" t="s">
        <v>239</v>
      </c>
      <c r="H42" s="126"/>
      <c r="I42" s="126" t="s">
        <v>240</v>
      </c>
      <c r="J42" s="126"/>
      <c r="K42" s="126" t="s">
        <v>241</v>
      </c>
      <c r="L42" s="126" t="s">
        <v>242</v>
      </c>
      <c r="M42" s="126" t="s">
        <v>243</v>
      </c>
      <c r="N42" s="126"/>
      <c r="O42" s="126" t="s">
        <v>244</v>
      </c>
      <c r="P42" s="247" t="s">
        <v>245</v>
      </c>
      <c r="Q42" s="250">
        <f>'To be filled by countries'!O41</f>
        <v>3500</v>
      </c>
      <c r="R42" s="252"/>
      <c r="S42" s="250">
        <f>'To be filled by countries'!Z41</f>
        <v>0</v>
      </c>
      <c r="T42" s="252"/>
      <c r="U42" s="250">
        <f>'To be filled by countries'!AK41</f>
        <v>0</v>
      </c>
      <c r="V42" s="253"/>
      <c r="W42" s="250">
        <f>'To be filled by countries'!AV41</f>
        <v>3900</v>
      </c>
      <c r="X42" s="254">
        <v>7990</v>
      </c>
      <c r="Y42" s="250">
        <f>'To be filled by countries'!BG41</f>
        <v>3900</v>
      </c>
      <c r="Z42" s="254">
        <v>7990</v>
      </c>
      <c r="AA42" s="250">
        <f>'To be filled by countries'!BR41</f>
        <v>51</v>
      </c>
      <c r="AB42" s="251"/>
    </row>
    <row r="43" ht="14" spans="1:28">
      <c r="A43" s="199" t="s">
        <v>224</v>
      </c>
      <c r="B43" s="52" t="e">
        <f>'To be filled by countries'!B42</f>
        <v>#REF!</v>
      </c>
      <c r="C43" s="126"/>
      <c r="D43" s="126" t="s">
        <v>225</v>
      </c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250">
        <f>'To be filled by countries'!O42</f>
        <v>4990</v>
      </c>
      <c r="R43" s="252"/>
      <c r="S43" s="250">
        <f>'To be filled by countries'!Z42</f>
        <v>809</v>
      </c>
      <c r="T43" s="252"/>
      <c r="U43" s="250">
        <f>'To be filled by countries'!AK42</f>
        <v>0</v>
      </c>
      <c r="V43" s="253"/>
      <c r="W43" s="250">
        <f>'To be filled by countries'!AV42</f>
        <v>0</v>
      </c>
      <c r="X43" s="253"/>
      <c r="Y43" s="250">
        <f>'To be filled by countries'!BG42</f>
        <v>4200</v>
      </c>
      <c r="Z43" s="253"/>
      <c r="AA43" s="250">
        <f>'To be filled by countries'!BR42</f>
        <v>81</v>
      </c>
      <c r="AB43" s="253"/>
    </row>
    <row r="44" ht="14" spans="1:28">
      <c r="A44" s="199" t="s">
        <v>224</v>
      </c>
      <c r="B44" s="52" t="e">
        <f>'To be filled by countries'!B43</f>
        <v>#REF!</v>
      </c>
      <c r="C44" s="126"/>
      <c r="D44" s="126" t="s">
        <v>225</v>
      </c>
      <c r="E44" s="126" t="s">
        <v>81</v>
      </c>
      <c r="F44" s="126" t="s">
        <v>246</v>
      </c>
      <c r="G44" s="126" t="s">
        <v>247</v>
      </c>
      <c r="H44" s="126">
        <v>120</v>
      </c>
      <c r="I44" s="52" t="s">
        <v>229</v>
      </c>
      <c r="J44" s="126" t="s">
        <v>248</v>
      </c>
      <c r="K44" s="126"/>
      <c r="L44" s="126"/>
      <c r="M44" s="126"/>
      <c r="N44" s="126"/>
      <c r="O44" s="126"/>
      <c r="P44" s="126"/>
      <c r="Q44" s="250">
        <f>'To be filled by countries'!O43</f>
        <v>4500</v>
      </c>
      <c r="R44" s="251">
        <v>5591</v>
      </c>
      <c r="S44" s="250">
        <f>'To be filled by countries'!Z43</f>
        <v>859</v>
      </c>
      <c r="T44" s="252"/>
      <c r="U44" s="250">
        <f>'To be filled by countries'!AK43</f>
        <v>0</v>
      </c>
      <c r="V44" s="253"/>
      <c r="W44" s="250">
        <f>'To be filled by countries'!AV43</f>
        <v>4900</v>
      </c>
      <c r="X44" s="253"/>
      <c r="Y44" s="250">
        <f>'To be filled by countries'!BG43</f>
        <v>4900</v>
      </c>
      <c r="Z44" s="253"/>
      <c r="AA44" s="250">
        <f>'To be filled by countries'!BR43</f>
        <v>85</v>
      </c>
      <c r="AB44" s="253"/>
    </row>
    <row r="45" ht="14" spans="1:28">
      <c r="A45" s="199" t="s">
        <v>224</v>
      </c>
      <c r="B45" s="52" t="e">
        <f>'To be filled by countries'!B44</f>
        <v>#REF!</v>
      </c>
      <c r="C45" s="126"/>
      <c r="D45" s="126" t="s">
        <v>225</v>
      </c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250">
        <f>'To be filled by countries'!O44</f>
        <v>4000</v>
      </c>
      <c r="R45" s="252"/>
      <c r="S45" s="250">
        <f>'To be filled by countries'!Z44</f>
        <v>900</v>
      </c>
      <c r="T45" s="252"/>
      <c r="U45" s="250">
        <f>'To be filled by countries'!AK44</f>
        <v>0</v>
      </c>
      <c r="V45" s="253"/>
      <c r="W45" s="250">
        <f>'To be filled by countries'!AV44</f>
        <v>3900</v>
      </c>
      <c r="X45" s="253"/>
      <c r="Y45" s="250">
        <f>'To be filled by countries'!BG44</f>
        <v>3900</v>
      </c>
      <c r="Z45" s="253"/>
      <c r="AA45" s="250">
        <f>'To be filled by countries'!BR44</f>
        <v>44</v>
      </c>
      <c r="AB45" s="253"/>
    </row>
    <row r="46" ht="14" spans="1:28">
      <c r="A46" s="199" t="s">
        <v>224</v>
      </c>
      <c r="B46" s="52" t="e">
        <f>'To be filled by countries'!B45</f>
        <v>#REF!</v>
      </c>
      <c r="C46" s="126"/>
      <c r="D46" s="126" t="s">
        <v>225</v>
      </c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250">
        <f>'To be filled by countries'!O45</f>
        <v>5000</v>
      </c>
      <c r="R46" s="252"/>
      <c r="S46" s="250">
        <f>'To be filled by countries'!Z45</f>
        <v>1199</v>
      </c>
      <c r="T46" s="252"/>
      <c r="U46" s="250">
        <f>'To be filled by countries'!AK45</f>
        <v>0</v>
      </c>
      <c r="V46" s="253"/>
      <c r="W46" s="250">
        <f>'To be filled by countries'!AV45</f>
        <v>0</v>
      </c>
      <c r="X46" s="253"/>
      <c r="Y46" s="250">
        <f>'To be filled by countries'!BG45</f>
        <v>0</v>
      </c>
      <c r="Z46" s="253"/>
      <c r="AA46" s="250"/>
      <c r="AB46" s="253"/>
    </row>
    <row r="47" ht="14" spans="1:28">
      <c r="A47" s="199" t="s">
        <v>224</v>
      </c>
      <c r="B47" s="52" t="e">
        <f>'To be filled by countries'!B46</f>
        <v>#REF!</v>
      </c>
      <c r="C47" s="126"/>
      <c r="D47" s="126" t="s">
        <v>225</v>
      </c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250">
        <f>'To be filled by countries'!O46</f>
        <v>8000</v>
      </c>
      <c r="R47" s="252"/>
      <c r="S47" s="250">
        <f>'To be filled by countries'!Z46</f>
        <v>1500</v>
      </c>
      <c r="T47" s="252"/>
      <c r="U47" s="250">
        <f>'To be filled by countries'!AK46</f>
        <v>0</v>
      </c>
      <c r="V47" s="253"/>
      <c r="W47" s="250">
        <f>'To be filled by countries'!AV46</f>
        <v>0</v>
      </c>
      <c r="X47" s="253"/>
      <c r="Y47" s="250">
        <f>'To be filled by countries'!BG46</f>
        <v>0</v>
      </c>
      <c r="Z47" s="253"/>
      <c r="AA47" s="250"/>
      <c r="AB47" s="253"/>
    </row>
    <row r="48" ht="14" spans="1:28">
      <c r="A48" s="199" t="s">
        <v>224</v>
      </c>
      <c r="B48" s="52" t="e">
        <f>'To be filled by countries'!B47</f>
        <v>#REF!</v>
      </c>
      <c r="C48" s="126"/>
      <c r="D48" s="126" t="s">
        <v>225</v>
      </c>
      <c r="E48" s="126" t="s">
        <v>89</v>
      </c>
      <c r="F48" s="126" t="s">
        <v>246</v>
      </c>
      <c r="G48" s="52" t="s">
        <v>249</v>
      </c>
      <c r="H48" s="52">
        <v>300</v>
      </c>
      <c r="I48" s="52" t="s">
        <v>229</v>
      </c>
      <c r="J48" s="52" t="s">
        <v>250</v>
      </c>
      <c r="Q48" s="255">
        <f>'To be filled by countries'!O47</f>
        <v>4500</v>
      </c>
      <c r="R48" s="256">
        <v>4950</v>
      </c>
      <c r="S48" s="255">
        <f>'To be filled by countries'!Z47</f>
        <v>759</v>
      </c>
      <c r="T48" s="252"/>
      <c r="U48" s="255">
        <f>'To be filled by countries'!AK47</f>
        <v>0</v>
      </c>
      <c r="V48" s="257"/>
      <c r="W48" s="255">
        <f>'To be filled by countries'!AV47</f>
        <v>0</v>
      </c>
      <c r="X48" s="257"/>
      <c r="Y48" s="255">
        <f>'To be filled by countries'!BG47</f>
        <v>0</v>
      </c>
      <c r="Z48" s="257"/>
      <c r="AA48" s="255"/>
      <c r="AB48" s="257"/>
    </row>
  </sheetData>
  <autoFilter xmlns:etc="http://www.wps.cn/officeDocument/2017/etCustomData" ref="A3:AN48" etc:filterBottomFollowUsedRange="0">
    <extLst/>
  </autoFilter>
  <customSheetViews>
    <customSheetView guid="{A3E85292-E27C-43A2-AA6B-9253C0AD2A40}" filter="1" showAutoFilter="1">
      <pageMargins left="0.7" right="0.7" top="0.75" bottom="0.75" header="0.3" footer="0.3"/>
      <headerFooter/>
      <autoFilter ref="A3:AN23">
        <filterColumn colId="2">
          <customFilters>
            <customFilter operator="equal" val="P2"/>
          </customFilters>
        </filterColumn>
      </autoFilter>
    </customSheetView>
    <customSheetView guid="{43751526-DCDC-4D9C-BE4E-D0EE87D386B8}" filter="1" showAutoFilter="1">
      <pageMargins left="0.7" right="0.7" top="0.75" bottom="0.75" header="0.3" footer="0.3"/>
      <headerFooter/>
      <autoFilter ref="A3:AN48">
        <filterColumn colId="2">
          <customFilters>
            <customFilter operator="equal" val="P2"/>
          </customFilters>
        </filterColumn>
      </autoFilter>
    </customSheetView>
    <customSheetView guid="{8439838F-02A6-468E-B65E-5AD6B77D7D39}" filter="1" showAutoFilter="1">
      <pageMargins left="0.7" right="0.7" top="0.75" bottom="0.75" header="0.3" footer="0.3"/>
      <headerFooter/>
      <autoFilter ref="A3:AN48">
        <filterColumn colId="3">
          <filters>
            <filter val="Jenny"/>
            <filter val="Will"/>
            <filter val="Tivan"/>
          </filters>
        </filterColumn>
      </autoFilter>
    </customSheetView>
    <customSheetView guid="{04185E0F-4644-4091-BAF8-80D1B8D1C3E6}" filter="1" showAutoFilter="1">
      <pageMargins left="0.7" right="0.7" top="0.75" bottom="0.75" header="0.3" footer="0.3"/>
      <headerFooter/>
      <autoFilter ref="A3:AN49">
        <filterColumn colId="0">
          <filters blank="1">
            <filter val="Beauty &amp; perfumes"/>
            <filter val="Women's clothing"/>
          </filters>
        </filterColumn>
      </autoFilter>
    </customSheetView>
    <customSheetView guid="{2C0F4595-6F03-42C7-A858-C6FA95C9611E}" filter="1" showAutoFilter="1">
      <pageMargins left="0.7" right="0.7" top="0.75" bottom="0.75" header="0.3" footer="0.3"/>
      <headerFooter/>
      <autoFilter ref="A3:AN48">
        <filterColumn colId="0">
          <customFilters>
            <customFilter operator="equal" val="Beauty &amp; perfumes"/>
            <customFilter operator="equal" val="Women's clothing"/>
          </customFilters>
        </filterColumn>
      </autoFilter>
    </customSheetView>
    <customSheetView guid="{9FCE9048-0438-415B-AF80-1F0C361E96E2}" filter="1" showAutoFilter="1">
      <pageMargins left="0.7" right="0.7" top="0.75" bottom="0.75" header="0.3" footer="0.3"/>
      <headerFooter/>
      <autoFilter ref="A3:AN48">
        <filterColumn colId="3">
          <customFilters>
            <customFilter operator="equal" val="Holyn"/>
          </customFilters>
        </filterColumn>
      </autoFilter>
    </customSheetView>
    <customSheetView guid="{C52A044B-27FB-4C3B-AFB9-7031125C0BFA}" filter="1" showAutoFilter="1">
      <pageMargins left="0.7" right="0.7" top="0.75" bottom="0.75" header="0.3" footer="0.3"/>
      <headerFooter/>
      <autoFilter ref="A3:AN48">
        <filterColumn colId="3">
          <filters>
            <filter val="Jenny"/>
            <filter val="Will"/>
            <filter val="Stephen"/>
          </filters>
        </filterColumn>
      </autoFilter>
    </customSheetView>
    <customSheetView guid="{B0D1583C-C86D-41F0-91CB-36EE0DAA1110}" filter="1" showAutoFilter="1">
      <pageMargins left="0.7" right="0.7" top="0.75" bottom="0.75" header="0.3" footer="0.3"/>
      <headerFooter/>
      <autoFilter ref="A3:AN48">
        <filterColumn colId="0">
          <customFilters>
            <customFilter operator="equal" val="Computing"/>
          </customFilters>
        </filterColumn>
      </autoFilter>
    </customSheetView>
    <customSheetView guid="{1ADC77CC-5EB0-4A40-8A0C-145CE1AADF93}" filter="1" showAutoFilter="1">
      <pageMargins left="0.7" right="0.7" top="0.75" bottom="0.75" header="0.3" footer="0.3"/>
      <headerFooter/>
      <autoFilter ref="A3:AN48">
        <filterColumn colId="3">
          <filters>
            <filter val="Jenny"/>
            <filter val="Will"/>
            <filter val="Stephen"/>
          </filters>
        </filterColumn>
      </autoFilter>
    </customSheetView>
    <customSheetView guid="{C50B73CF-7CFD-407B-AA68-1A23CD4C7E59}" filter="1" showAutoFilter="1">
      <pageMargins left="0.7" right="0.7" top="0.75" bottom="0.75" header="0.3" footer="0.3"/>
      <headerFooter/>
      <autoFilter ref="A3:AN48"/>
    </customSheetView>
    <customSheetView guid="{0AD0DF2E-09A9-44A8-B344-E11F1360E105}" filter="1" showAutoFilter="1">
      <pageMargins left="0.7" right="0.7" top="0.75" bottom="0.75" header="0.3" footer="0.3"/>
      <headerFooter/>
      <autoFilter ref="A3:AN49">
        <filterColumn colId="2">
          <customFilters>
            <customFilter operator="equal" val="P1"/>
            <customFilter operator="equal" val="P2"/>
          </customFilters>
        </filterColumn>
      </autoFilter>
    </customSheetView>
    <customSheetView guid="{77A018F2-B0E4-4FCE-AA3A-4447C748BB5F}" filter="1" showAutoFilter="1">
      <pageMargins left="0.7" right="0.7" top="0.75" bottom="0.75" header="0.3" footer="0.3"/>
      <headerFooter/>
      <autoFilter ref="A3:AN48">
        <filterColumn colId="5">
          <customFilters>
            <customFilter operator="equal" val="Be strong-COD"/>
          </customFilters>
        </filterColumn>
      </autoFilter>
    </customSheetView>
    <customSheetView guid="{72FEF15E-0C0C-4096-B809-E82B7585F99F}" filter="1" showAutoFilter="1">
      <pageMargins left="0.7" right="0.7" top="0.75" bottom="0.75" header="0.3" footer="0.3"/>
      <headerFooter/>
      <autoFilter ref="A3:AN48">
        <filterColumn colId="0">
          <customFilters>
            <customFilter operator="equal" val="Phones"/>
            <customFilter operator="equal" val="Computing"/>
          </customFilters>
        </filterColumn>
        <filterColumn colId="2">
          <customFilters>
            <customFilter operator="equal" val="P1"/>
            <customFilter operator="equal" val="P2"/>
          </customFilters>
        </filterColumn>
      </autoFilter>
    </customSheetView>
    <customSheetView guid="{6A0E0F38-A1F6-40BE-B6DD-85D29355AA8C}" filter="1" showAutoFilter="1">
      <pageMargins left="0.7" right="0.7" top="0.75" bottom="0.75" header="0.3" footer="0.3"/>
      <headerFooter/>
      <autoFilter ref="A3:AN1000">
        <filterColumn colId="2">
          <customFilters>
            <customFilter operator="equal" val="P2"/>
          </customFilters>
        </filterColumn>
      </autoFilter>
    </customSheetView>
    <customSheetView guid="{E052C097-F092-4C23-BA81-86773E3DBA9D}" filter="1" showAutoFilter="1">
      <pageMargins left="0.7" right="0.7" top="0.75" bottom="0.75" header="0.3" footer="0.3"/>
      <headerFooter/>
      <autoFilter ref="A3:AN49">
        <filterColumn colId="0">
          <customFilters>
            <customFilter operator="equal" val=""/>
            <customFilter operator="equal" val="Computing"/>
          </customFilters>
        </filterColumn>
        <filterColumn colId="1">
          <filters>
            <filter val="Power strip"/>
            <filter val="Bag- 4in1"/>
            <filter val="Set of earings pck of 12"/>
            <filter val="Hair Dryer"/>
            <filter val="Sunglasses"/>
            <filter val="Underwear pack of 4"/>
            <filter val="Kettle"/>
            <filter val="Feature phone"/>
            <filter val="USB drive 128G"/>
            <filter val="Bag- lady's carring bag"/>
            <filter val="Fan- Small"/>
            <filter val="bra pack of two"/>
            <filter val="Wireless speaker"/>
            <filter val="belt"/>
            <filter val="Women underwear  pack of 4"/>
            <filter val="Wireless earphones F9 style"/>
            <filter val="Bag- laptop bag"/>
            <filter val="Smartwatch"/>
            <filter val="Kitchen pot (26cm)"/>
            <filter val="Mixer"/>
            <filter val="Hair Clipper"/>
            <filter val="Women dress"/>
            <filter val="trousers"/>
            <filter val="Hoodie/ Jacket"/>
            <filter val="T-shirt"/>
            <filter val="Wireless earphones airpod style"/>
            <filter val="Spatulas ( a set of five)"/>
            <filter val="Shower/Bath towel"/>
            <filter val="Couple necklace pck of 2"/>
            <filter val="Men Sports shoes"/>
            <filter val="Slippers"/>
            <filter val="Men Casual shoes"/>
            <filter val="Men Formal shoes"/>
            <filter val="shirt"/>
            <filter val="Basic toolkit"/>
            <filter val="USB drive 64G"/>
            <filter val="watch"/>
            <filter val="Socks pack of six"/>
            <filter val="Pan (28cm)"/>
            <filter val="10K MAh powerbank"/>
            <filter val="20K MAh powerbank"/>
            <filter val="Hand towel"/>
            <filter val="Iron"/>
            <filter val="Set of black short &amp; shirt for men"/>
          </filters>
        </filterColumn>
      </autoFilter>
    </customSheetView>
    <customSheetView guid="{0CF238E1-F5A4-43B2-9AC8-C5E7F0C0D2C0}" filter="1" showAutoFilter="1">
      <pageMargins left="0.7" right="0.7" top="0.75" bottom="0.75" header="0.3" footer="0.3"/>
      <headerFooter/>
      <autoFilter ref="A3:AN48">
        <filterColumn colId="5">
          <customFilters>
            <customFilter operator="equal" val="Be strong-COD"/>
          </customFilters>
        </filterColumn>
      </autoFilter>
    </customSheetView>
    <customSheetView guid="{61C8A3BE-9593-408F-8AD3-122CA6EC084B}" filter="1" showAutoFilter="1">
      <pageMargins left="0.7" right="0.7" top="0.75" bottom="0.75" header="0.3" footer="0.3"/>
      <headerFooter/>
      <autoFilter ref="A3:AN48">
        <filterColumn colId="2">
          <customFilters>
            <customFilter operator="equal" val="P1"/>
          </customFilters>
        </filterColumn>
        <filterColumn colId="5">
          <filters>
            <filter val="JM Queen-SEA-COD"/>
            <filter val="Be strong-COD"/>
            <filter val="Hotsell-COD"/>
            <filter val="Gbsmarty-COD"/>
            <filter val="Yinglong Family-COD"/>
            <filter val="itel NG-COD"/>
            <filter val="Weshopping-Sea-COD"/>
            <filter val="Sunshining-COD"/>
            <filter val="Sunshine Mall-COD"/>
            <filter val="Maimeite Official Store-Sea-COD"/>
            <filter val="berrykey-SEA-COD"/>
            <filter val="SMARK FASHION-SEA-COD"/>
            <filter val="Dragon-SEAS-COD"/>
            <filter val="SMARK-SEA-CODx"/>
            <filter val="itel NG Accessory-COD"/>
            <filter val="han river official store-COD"/>
            <filter val="Leebuy Trend Store-COD"/>
            <filter val="yixing-cod"/>
          </filters>
        </filterColumn>
      </autoFilter>
    </customSheetView>
    <customSheetView guid="{95BCDF17-336B-4028-AB94-AFD594DB5F68}" filter="1" showAutoFilter="1">
      <pageMargins left="0.7" right="0.7" top="0.75" bottom="0.75" header="0.3" footer="0.3"/>
      <headerFooter/>
      <autoFilter ref="A3:AN48">
        <filterColumn colId="3">
          <filters>
            <filter val="Myrtle"/>
            <filter val="Will"/>
            <filter val="Tivan"/>
            <filter val="Stephen"/>
          </filters>
        </filterColumn>
        <filterColumn colId="4">
          <customFilters>
            <customFilter operator="equal" val="Existing sku not from basics project"/>
          </customFilters>
        </filterColumn>
      </autoFilter>
    </customSheetView>
    <customSheetView guid="{7182B11B-E94B-4CD2-9193-2DC040B3B2B3}" filter="1" showAutoFilter="1">
      <pageMargins left="0.7" right="0.7" top="0.75" bottom="0.75" header="0.3" footer="0.3"/>
      <headerFooter/>
      <autoFilter ref="A3:AN1000">
        <filterColumn colId="2">
          <customFilters>
            <customFilter operator="equal" val="P2"/>
          </customFilters>
        </filterColumn>
      </autoFilter>
    </customSheetView>
    <customSheetView guid="{28C4D6C3-70D2-4DAD-97EF-ED863CBD526C}" filter="1" showAutoFilter="1">
      <pageMargins left="0.7" right="0.7" top="0.75" bottom="0.75" header="0.3" footer="0.3"/>
      <headerFooter/>
      <autoFilter ref="A3:AN48">
        <filterColumn colId="3">
          <customFilters>
            <customFilter operator="equal" val="Holyn"/>
          </customFilters>
        </filterColumn>
      </autoFilter>
    </customSheetView>
    <customSheetView guid="{CC5F3D9F-2746-40DE-89FF-DD1852624670}" filter="1" showAutoFilter="1">
      <pageMargins left="0.7" right="0.7" top="0.75" bottom="0.75" header="0.3" footer="0.3"/>
      <headerFooter/>
      <autoFilter ref="A3:AN48"/>
    </customSheetView>
    <customSheetView guid="{B6FF4B25-3FA7-4D6C-BF4E-512D889A950E}" filter="1" showAutoFilter="1">
      <pageMargins left="0.7" right="0.7" top="0.75" bottom="0.75" header="0.3" footer="0.3"/>
      <headerFooter/>
      <autoFilter ref="A3:AN48">
        <filterColumn colId="2">
          <customFilters>
            <customFilter operator="equal" val="P1"/>
          </customFilters>
        </filterColumn>
      </autoFilter>
    </customSheetView>
    <customSheetView guid="{76EDA02D-FA66-4E8A-9B92-22211ACDD5DC}" filter="1" showAutoFilter="1">
      <pageMargins left="0.7" right="0.7" top="0.75" bottom="0.75" header="0.3" footer="0.3"/>
      <headerFooter/>
      <autoFilter ref="A3:AN48">
        <filterColumn colId="3">
          <filters>
            <filter val="Jenny"/>
            <filter val="Will"/>
            <filter val="Stephen"/>
          </filters>
        </filterColumn>
      </autoFilter>
    </customSheetView>
  </customSheetViews>
  <mergeCells count="6">
    <mergeCell ref="Q2:R2"/>
    <mergeCell ref="S2:T2"/>
    <mergeCell ref="U2:V2"/>
    <mergeCell ref="W2:X2"/>
    <mergeCell ref="Y2:Z2"/>
    <mergeCell ref="AA2:AB2"/>
  </mergeCells>
  <dataValidations count="1">
    <dataValidation type="list" allowBlank="1" showErrorMessage="1" sqref="E4:E48">
      <formula1>"Existing sku from old basics project,Existing sku not from basics project,New sku from existing supplier,New sku from new supplier"</formula1>
    </dataValidation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9"/>
  <sheetViews>
    <sheetView workbookViewId="0">
      <selection activeCell="A1" sqref="A1"/>
    </sheetView>
  </sheetViews>
  <sheetFormatPr defaultColWidth="12.6636363636364" defaultRowHeight="15.75" customHeight="1"/>
  <sheetData>
    <row r="1" customHeight="1" spans="1:12">
      <c r="A1" s="52" t="s">
        <v>61</v>
      </c>
      <c r="B1" s="52" t="s">
        <v>251</v>
      </c>
      <c r="C1" s="52" t="s">
        <v>252</v>
      </c>
      <c r="D1" s="52" t="s">
        <v>253</v>
      </c>
      <c r="E1" s="52" t="s">
        <v>254</v>
      </c>
      <c r="F1" s="52" t="s">
        <v>255</v>
      </c>
      <c r="G1" s="52" t="s">
        <v>256</v>
      </c>
      <c r="H1" s="52" t="s">
        <v>257</v>
      </c>
      <c r="J1" s="52" t="s">
        <v>258</v>
      </c>
      <c r="K1" s="52" t="s">
        <v>259</v>
      </c>
      <c r="L1" s="52" t="s">
        <v>260</v>
      </c>
    </row>
    <row r="2" customHeight="1" spans="1:8">
      <c r="A2" s="52" t="s">
        <v>78</v>
      </c>
      <c r="B2" s="52" t="s">
        <v>261</v>
      </c>
      <c r="C2" s="52" t="s">
        <v>262</v>
      </c>
      <c r="D2" s="63" t="s">
        <v>263</v>
      </c>
      <c r="E2" s="52" t="s">
        <v>1</v>
      </c>
      <c r="F2" s="52">
        <v>1000</v>
      </c>
      <c r="G2" s="52">
        <v>50</v>
      </c>
      <c r="H2" s="52">
        <v>15600</v>
      </c>
    </row>
    <row r="3" customHeight="1" spans="1:5">
      <c r="A3" s="52" t="s">
        <v>78</v>
      </c>
      <c r="B3" s="52" t="s">
        <v>264</v>
      </c>
      <c r="C3" s="52" t="s">
        <v>265</v>
      </c>
      <c r="D3" s="63" t="s">
        <v>263</v>
      </c>
      <c r="E3" s="52" t="s">
        <v>266</v>
      </c>
    </row>
    <row r="4" customHeight="1" spans="1:5">
      <c r="A4" s="52" t="s">
        <v>78</v>
      </c>
      <c r="B4" s="52" t="s">
        <v>267</v>
      </c>
      <c r="C4" s="52" t="s">
        <v>268</v>
      </c>
      <c r="D4" s="63" t="s">
        <v>263</v>
      </c>
      <c r="E4" s="52" t="s">
        <v>48</v>
      </c>
    </row>
    <row r="9" customHeight="1" spans="5:5">
      <c r="E9" s="52">
        <f>45*6</f>
        <v>270</v>
      </c>
    </row>
  </sheetData>
  <hyperlinks>
    <hyperlink ref="D2" r:id="rId1" display="https://www.jumia.com.ng/fashion-trendy-mens-casual-shoes-glossy-leather-running-sneakers-black-105588013.html"/>
    <hyperlink ref="D3" r:id="rId1" display="https://www.jumia.com.ng/fashion-trendy-mens-casual-shoes-glossy-leather-running-sneakers-black-105588013.html"/>
    <hyperlink ref="D4" r:id="rId1" display="https://www.jumia.com.ng/fashion-trendy-mens-casual-shoes-glossy-leather-running-sneakers-black-105588013.html"/>
  </hyperlink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T1002"/>
  <sheetViews>
    <sheetView workbookViewId="0">
      <pane xSplit="5" topLeftCell="F1" activePane="topRight" state="frozen"/>
      <selection/>
      <selection pane="topRight" activeCell="G2" sqref="G2"/>
    </sheetView>
  </sheetViews>
  <sheetFormatPr defaultColWidth="12.6636363636364" defaultRowHeight="15.75" customHeight="1"/>
  <cols>
    <col min="2" max="2" width="24.8909090909091" customWidth="1"/>
    <col min="6" max="18" width="13.1090909090909" customWidth="1"/>
    <col min="27" max="27" width="15.8909090909091" customWidth="1"/>
    <col min="37" max="37" width="17" customWidth="1"/>
    <col min="71" max="71" width="34.7818181818182" customWidth="1"/>
  </cols>
  <sheetData>
    <row r="1" customHeight="1" spans="2:72">
      <c r="B1" s="52" t="s">
        <v>269</v>
      </c>
      <c r="C1" s="63" t="s">
        <v>270</v>
      </c>
      <c r="D1" s="52"/>
      <c r="E1" s="52"/>
      <c r="F1" s="215"/>
      <c r="G1" s="216" t="s">
        <v>1</v>
      </c>
      <c r="H1" s="198" t="s">
        <v>1</v>
      </c>
      <c r="I1" s="198" t="s">
        <v>1</v>
      </c>
      <c r="J1" s="198" t="s">
        <v>1</v>
      </c>
      <c r="K1" s="198" t="s">
        <v>1</v>
      </c>
      <c r="L1" s="198" t="s">
        <v>1</v>
      </c>
      <c r="M1" s="198" t="s">
        <v>1</v>
      </c>
      <c r="N1" s="198" t="s">
        <v>1</v>
      </c>
      <c r="O1" s="223" t="s">
        <v>1</v>
      </c>
      <c r="P1" s="223" t="s">
        <v>1</v>
      </c>
      <c r="R1" s="216" t="s">
        <v>46</v>
      </c>
      <c r="S1" s="216" t="s">
        <v>46</v>
      </c>
      <c r="T1" s="216" t="s">
        <v>46</v>
      </c>
      <c r="U1" s="216" t="s">
        <v>46</v>
      </c>
      <c r="V1" s="216" t="s">
        <v>46</v>
      </c>
      <c r="W1" s="216" t="s">
        <v>46</v>
      </c>
      <c r="X1" s="216" t="s">
        <v>46</v>
      </c>
      <c r="Y1" s="216" t="s">
        <v>46</v>
      </c>
      <c r="Z1" s="231" t="s">
        <v>46</v>
      </c>
      <c r="AA1" s="232" t="s">
        <v>46</v>
      </c>
      <c r="AC1" s="216" t="s">
        <v>55</v>
      </c>
      <c r="AD1" s="216" t="s">
        <v>55</v>
      </c>
      <c r="AE1" s="216" t="s">
        <v>55</v>
      </c>
      <c r="AF1" s="216" t="s">
        <v>55</v>
      </c>
      <c r="AG1" s="216" t="s">
        <v>55</v>
      </c>
      <c r="AH1" s="216" t="s">
        <v>55</v>
      </c>
      <c r="AI1" s="216" t="s">
        <v>55</v>
      </c>
      <c r="AJ1" s="216" t="s">
        <v>55</v>
      </c>
      <c r="AK1" s="231" t="s">
        <v>55</v>
      </c>
      <c r="AL1" s="231" t="s">
        <v>55</v>
      </c>
      <c r="AN1" s="216" t="s">
        <v>48</v>
      </c>
      <c r="AO1" s="216" t="s">
        <v>48</v>
      </c>
      <c r="AP1" s="216" t="s">
        <v>48</v>
      </c>
      <c r="AQ1" s="216" t="s">
        <v>48</v>
      </c>
      <c r="AR1" s="216" t="s">
        <v>48</v>
      </c>
      <c r="AS1" s="216" t="s">
        <v>48</v>
      </c>
      <c r="AT1" s="216" t="s">
        <v>48</v>
      </c>
      <c r="AU1" s="216" t="s">
        <v>48</v>
      </c>
      <c r="AV1" s="231" t="s">
        <v>48</v>
      </c>
      <c r="AW1" s="231" t="s">
        <v>48</v>
      </c>
      <c r="AY1" s="216" t="s">
        <v>53</v>
      </c>
      <c r="AZ1" s="216" t="s">
        <v>53</v>
      </c>
      <c r="BA1" s="216" t="s">
        <v>53</v>
      </c>
      <c r="BB1" s="216" t="s">
        <v>53</v>
      </c>
      <c r="BC1" s="216" t="s">
        <v>53</v>
      </c>
      <c r="BD1" s="216" t="s">
        <v>53</v>
      </c>
      <c r="BE1" s="216" t="s">
        <v>53</v>
      </c>
      <c r="BF1" s="216" t="s">
        <v>53</v>
      </c>
      <c r="BG1" s="231" t="s">
        <v>53</v>
      </c>
      <c r="BH1" s="231" t="s">
        <v>53</v>
      </c>
      <c r="BJ1" s="216" t="s">
        <v>51</v>
      </c>
      <c r="BK1" s="216" t="s">
        <v>51</v>
      </c>
      <c r="BL1" s="216" t="s">
        <v>51</v>
      </c>
      <c r="BM1" s="216" t="s">
        <v>51</v>
      </c>
      <c r="BN1" s="216" t="s">
        <v>51</v>
      </c>
      <c r="BO1" s="216" t="s">
        <v>51</v>
      </c>
      <c r="BP1" s="216" t="s">
        <v>51</v>
      </c>
      <c r="BQ1" s="216" t="s">
        <v>51</v>
      </c>
      <c r="BR1" s="231" t="s">
        <v>51</v>
      </c>
      <c r="BS1" s="231" t="s">
        <v>51</v>
      </c>
      <c r="BT1" s="216"/>
    </row>
    <row r="2" customHeight="1" spans="2:72">
      <c r="B2" s="52" t="s">
        <v>271</v>
      </c>
      <c r="C2" s="52" t="s">
        <v>272</v>
      </c>
      <c r="D2" s="52" t="s">
        <v>23</v>
      </c>
      <c r="E2" s="52" t="s">
        <v>273</v>
      </c>
      <c r="F2" s="215"/>
      <c r="G2" s="217" t="s">
        <v>274</v>
      </c>
      <c r="H2" s="217" t="s">
        <v>275</v>
      </c>
      <c r="I2" s="217" t="s">
        <v>276</v>
      </c>
      <c r="J2" s="217" t="s">
        <v>18</v>
      </c>
      <c r="K2" s="217" t="s">
        <v>277</v>
      </c>
      <c r="L2" s="217" t="s">
        <v>278</v>
      </c>
      <c r="M2" s="217" t="s">
        <v>279</v>
      </c>
      <c r="N2" s="217" t="s">
        <v>280</v>
      </c>
      <c r="O2" s="224" t="s">
        <v>281</v>
      </c>
      <c r="P2" s="224" t="s">
        <v>282</v>
      </c>
      <c r="R2" s="229" t="s">
        <v>274</v>
      </c>
      <c r="S2" s="217" t="s">
        <v>275</v>
      </c>
      <c r="T2" s="217" t="s">
        <v>276</v>
      </c>
      <c r="U2" s="217" t="s">
        <v>18</v>
      </c>
      <c r="V2" s="217" t="s">
        <v>277</v>
      </c>
      <c r="W2" s="217" t="s">
        <v>278</v>
      </c>
      <c r="X2" s="217" t="s">
        <v>279</v>
      </c>
      <c r="Y2" s="217" t="s">
        <v>280</v>
      </c>
      <c r="Z2" s="224" t="s">
        <v>281</v>
      </c>
      <c r="AA2" s="233" t="s">
        <v>282</v>
      </c>
      <c r="AC2" s="229" t="s">
        <v>274</v>
      </c>
      <c r="AD2" s="217" t="s">
        <v>275</v>
      </c>
      <c r="AE2" s="217" t="s">
        <v>276</v>
      </c>
      <c r="AF2" s="217" t="s">
        <v>18</v>
      </c>
      <c r="AG2" s="217" t="s">
        <v>277</v>
      </c>
      <c r="AH2" s="217" t="s">
        <v>278</v>
      </c>
      <c r="AI2" s="217" t="s">
        <v>279</v>
      </c>
      <c r="AJ2" s="217" t="s">
        <v>280</v>
      </c>
      <c r="AK2" s="224" t="s">
        <v>281</v>
      </c>
      <c r="AL2" s="224" t="s">
        <v>282</v>
      </c>
      <c r="AN2" s="229" t="s">
        <v>274</v>
      </c>
      <c r="AO2" s="217" t="s">
        <v>275</v>
      </c>
      <c r="AP2" s="217" t="s">
        <v>276</v>
      </c>
      <c r="AQ2" s="217" t="s">
        <v>18</v>
      </c>
      <c r="AR2" s="217" t="s">
        <v>277</v>
      </c>
      <c r="AS2" s="217" t="s">
        <v>278</v>
      </c>
      <c r="AT2" s="217" t="s">
        <v>279</v>
      </c>
      <c r="AU2" s="217" t="s">
        <v>280</v>
      </c>
      <c r="AV2" s="224" t="s">
        <v>281</v>
      </c>
      <c r="AW2" s="224" t="s">
        <v>282</v>
      </c>
      <c r="AY2" s="229" t="s">
        <v>274</v>
      </c>
      <c r="AZ2" s="217" t="s">
        <v>275</v>
      </c>
      <c r="BA2" s="217" t="s">
        <v>276</v>
      </c>
      <c r="BB2" s="217" t="s">
        <v>18</v>
      </c>
      <c r="BC2" s="217" t="s">
        <v>277</v>
      </c>
      <c r="BD2" s="217" t="s">
        <v>278</v>
      </c>
      <c r="BE2" s="217" t="s">
        <v>279</v>
      </c>
      <c r="BF2" s="217" t="s">
        <v>280</v>
      </c>
      <c r="BG2" s="224" t="s">
        <v>281</v>
      </c>
      <c r="BH2" s="224" t="s">
        <v>282</v>
      </c>
      <c r="BJ2" s="229" t="s">
        <v>274</v>
      </c>
      <c r="BK2" s="217" t="s">
        <v>275</v>
      </c>
      <c r="BL2" s="217" t="s">
        <v>276</v>
      </c>
      <c r="BM2" s="217" t="s">
        <v>18</v>
      </c>
      <c r="BN2" s="217" t="s">
        <v>277</v>
      </c>
      <c r="BO2" s="217" t="s">
        <v>278</v>
      </c>
      <c r="BP2" s="217" t="s">
        <v>279</v>
      </c>
      <c r="BQ2" s="217" t="s">
        <v>280</v>
      </c>
      <c r="BR2" s="224" t="s">
        <v>281</v>
      </c>
      <c r="BS2" s="224" t="s">
        <v>282</v>
      </c>
      <c r="BT2" s="217"/>
    </row>
    <row r="3" ht="12.5" spans="2:72">
      <c r="B3" s="52" t="e">
        <f>#REF!</f>
        <v>#REF!</v>
      </c>
      <c r="C3" s="52" t="s">
        <v>3</v>
      </c>
      <c r="D3" s="218">
        <v>0.2</v>
      </c>
      <c r="E3" s="219" t="e">
        <f>#REF!</f>
        <v>#REF!</v>
      </c>
      <c r="G3" s="219" t="e">
        <f t="array" ref="G3">INDEX(Formulas!$R$24:$W$64,MATCH($B3,Formulas!$Q$24:$Q$64,0),MATCH(G$1,Formulas!$R$23:$W$23,0))</f>
        <v>#REF!</v>
      </c>
      <c r="H3" s="219">
        <f t="array" ref="H3">INDEX(Formulas!$G$24:$O$27,MATCH($C3,Formulas!$F$24:$F$27,0),MATCH(H$1,Formulas!$G$23:$O$23,0))*45</f>
        <v>0.31896</v>
      </c>
      <c r="I3" s="219">
        <f>VLOOKUP($C3,Formulas!$K$31:$L$34,2,FALSE)</f>
        <v>0.4</v>
      </c>
      <c r="J3" s="219">
        <f ca="1" t="shared" ref="J3:J47" si="0">$D3*M3</f>
        <v>0.5800092628</v>
      </c>
      <c r="K3" s="219" t="e">
        <f>VLOOKUP(K$1,Formulas!$F$47:$G$55,2,FALSE)*($E3+G3+H3)</f>
        <v>#REF!</v>
      </c>
      <c r="L3" s="219">
        <f ca="1" t="shared" ref="L3:L47" si="1">10%*M3</f>
        <v>0.2900046314</v>
      </c>
      <c r="M3" s="219">
        <f ca="1" t="shared" ref="M3:M47" si="2">$E3+J3+I3+H3+G3+K3+L3</f>
        <v>2.900046314</v>
      </c>
      <c r="N3" s="225">
        <f ca="1">VLOOKUP(N$1,Formulas!$I$31:$J$39,2,FALSE)*M3</f>
        <v>2668.042609</v>
      </c>
      <c r="O3" s="226">
        <v>1990</v>
      </c>
      <c r="P3" s="226" t="s">
        <v>283</v>
      </c>
      <c r="R3" s="219" t="e">
        <f t="array" ref="R3">INDEX(Formulas!$R$24:$W$64,MATCH($B3,Formulas!$Q$24:$Q$64,0),MATCH(R$1,Formulas!$R$23:$W$23,0))</f>
        <v>#REF!</v>
      </c>
      <c r="S3" s="219">
        <f t="array" ref="S3">INDEX(Formulas!$G$24:$O$27,MATCH($C3,Formulas!$F$24:$F$27,0),MATCH(S$1,Formulas!$G$23:$O$23,0))*45</f>
        <v>0.227835</v>
      </c>
      <c r="T3" s="219">
        <f>VLOOKUP($C3,Formulas!$K$31:$L$34,2,FALSE)</f>
        <v>0.4</v>
      </c>
      <c r="U3" s="219">
        <f ca="1" t="shared" ref="U3:U47" si="3">$D3*X3</f>
        <v>0.6004498975</v>
      </c>
      <c r="V3" s="230" t="e">
        <f>VLOOKUP(V$1,Formulas!$F$47:$G$55,2,FALSE)*($E3+R3+S3)</f>
        <v>#REF!</v>
      </c>
      <c r="W3" s="219">
        <f ca="1" t="shared" ref="W3:W47" si="4">10%*X3</f>
        <v>0.3002249487</v>
      </c>
      <c r="X3" s="219">
        <f ca="1" t="shared" ref="X3:X47" si="5">$E3+U3+T3+S3+R3+V3+W3</f>
        <v>3.002249487</v>
      </c>
      <c r="Y3" s="225">
        <f ca="1">VLOOKUP(Y$1,Formulas!$I$31:$J$39,2,FALSE)*X3</f>
        <v>444.3329241</v>
      </c>
      <c r="Z3" s="226"/>
      <c r="AA3" s="226" t="s">
        <v>284</v>
      </c>
      <c r="AC3" s="219" t="e">
        <f t="array" ref="AC3">INDEX(Formulas!$R$24:$W$64,MATCH($B3,Formulas!$Q$24:$Q$64,0),MATCH(AC$1,Formulas!$R$23:$W$23,0))</f>
        <v>#REF!</v>
      </c>
      <c r="AD3" s="219">
        <f t="array" ref="AD3">INDEX(Formulas!$G$24:$O$27,MATCH($C3,Formulas!$F$24:$F$27,0),MATCH(AD$1,Formulas!$G$23:$O$23,0))*45</f>
        <v>0.227835</v>
      </c>
      <c r="AE3" s="219">
        <f>VLOOKUP($C3,Formulas!$K$31:$L$34,2,FALSE)</f>
        <v>0.4</v>
      </c>
      <c r="AF3" s="219">
        <f ca="1" t="shared" ref="AF3:AF47" si="6">$D3*AI3</f>
        <v>0.7461874763</v>
      </c>
      <c r="AG3" s="230" t="e">
        <f>VLOOKUP(AG$1,Formulas!$F$47:$G$55,2,FALSE)*($E3+AC3+AD3)</f>
        <v>#REF!</v>
      </c>
      <c r="AH3" s="219">
        <f ca="1" t="shared" ref="AH3:AH47" si="7">10%*AI3</f>
        <v>0.3730937381</v>
      </c>
      <c r="AI3" s="219">
        <f ca="1" t="shared" ref="AI3:AI47" si="8">$E3+AF3+AE3+AD3+AC3+AG3+AH3</f>
        <v>3.730937381</v>
      </c>
      <c r="AJ3" s="225">
        <f ca="1">VLOOKUP(AJ$1,Formulas!$I$31:$J$39,2,FALSE)*AI3</f>
        <v>14177.56205</v>
      </c>
      <c r="AK3" s="227">
        <v>55000</v>
      </c>
      <c r="AL3" s="226" t="s">
        <v>285</v>
      </c>
      <c r="AN3" s="219" t="e">
        <f t="array" ref="AN3">INDEX(Formulas!$R$24:$W$64,MATCH($B3,Formulas!$Q$24:$Q$64,0),MATCH(AN$1,Formulas!$R$23:$W$23,0))</f>
        <v>#REF!</v>
      </c>
      <c r="AO3" s="219">
        <f t="array" ref="AO3">INDEX(Formulas!$G$24:$O$27,MATCH($C3,Formulas!$F$24:$F$27,0),MATCH(AO$1,Formulas!$G$23:$O$23,0))*45</f>
        <v>0.31896</v>
      </c>
      <c r="AP3" s="219">
        <f>VLOOKUP($C3,Formulas!$K$31:$L$34,2,FALSE)</f>
        <v>0.4</v>
      </c>
      <c r="AQ3" s="219">
        <f ca="1" t="shared" ref="AQ3:AQ47" si="9">$D3*AT3</f>
        <v>0.5639210758</v>
      </c>
      <c r="AR3" s="230" t="e">
        <f>VLOOKUP(AR$1,Formulas!$F$47:$G$55,2,FALSE)*($E3+AN3+AO3)</f>
        <v>#REF!</v>
      </c>
      <c r="AS3" s="219">
        <f ca="1" t="shared" ref="AS3:AS47" si="10">10%*AT3</f>
        <v>0.2819605379</v>
      </c>
      <c r="AT3" s="219">
        <f ca="1" t="shared" ref="AT3:AT47" si="11">$E3+AQ3+AP3+AO3+AN3+AR3+AS3</f>
        <v>2.819605379</v>
      </c>
      <c r="AU3" s="225">
        <f ca="1">VLOOKUP(AU$1,Formulas!$I$31:$J$39,2,FALSE)*AT3</f>
        <v>1917.331658</v>
      </c>
      <c r="AV3" s="226">
        <v>2500</v>
      </c>
      <c r="AW3" s="226" t="s">
        <v>283</v>
      </c>
      <c r="AY3" s="219" t="e">
        <f t="array" ref="AY3">INDEX(Formulas!$R$24:$W$64,MATCH($B3,Formulas!$Q$24:$Q$64,0),MATCH(AY$1,Formulas!$R$23:$W$23,0))</f>
        <v>#REF!</v>
      </c>
      <c r="AZ3" s="219">
        <f t="array" ref="AZ3">INDEX(Formulas!$G$24:$O$27,MATCH($C3,Formulas!$F$24:$F$27,0),MATCH(AZ$1,Formulas!$G$23:$O$23,0))*45</f>
        <v>0.227835</v>
      </c>
      <c r="BA3" s="219">
        <f>VLOOKUP($C3,Formulas!$K$31:$L$34,2,FALSE)</f>
        <v>0.4</v>
      </c>
      <c r="BB3" s="219">
        <f ca="1" t="shared" ref="BB3:BB47" si="12">$D3*BE3</f>
        <v>0.5387094586</v>
      </c>
      <c r="BC3" s="230" t="e">
        <f>VLOOKUP(BC$1,Formulas!$F$47:$G$55,2,FALSE)*($E3+AY3+AZ3)</f>
        <v>#REF!</v>
      </c>
      <c r="BD3" s="219">
        <f ca="1" t="shared" ref="BD3:BD47" si="13">10%*BE3</f>
        <v>0.2693547293</v>
      </c>
      <c r="BE3" s="219">
        <f ca="1" t="shared" ref="BE3:BE47" si="14">$E3+BB3+BA3+AZ3+AY3+BC3+BD3</f>
        <v>2.693547293</v>
      </c>
      <c r="BF3" s="225">
        <f ca="1">VLOOKUP(BF$1,Formulas!$I$31:$J$39,2,FALSE)*BE3</f>
        <v>1831.612159</v>
      </c>
      <c r="BG3" s="226">
        <v>2500</v>
      </c>
      <c r="BH3" s="226" t="s">
        <v>283</v>
      </c>
      <c r="BJ3" s="219" t="e">
        <f t="array" ref="BJ3">INDEX(Formulas!$R$24:$W$64,MATCH($B3,Formulas!$Q$24:$Q$64,0),MATCH(BJ$1,Formulas!$R$23:$W$23,0))</f>
        <v>#REF!</v>
      </c>
      <c r="BK3" s="219">
        <f t="array" ref="BK3">INDEX(Formulas!$G$24:$O$27,MATCH($C3,Formulas!$F$24:$F$27,0),MATCH(BK$1,Formulas!$G$23:$O$23,0))*45</f>
        <v>0.227835</v>
      </c>
      <c r="BL3" s="219">
        <f>VLOOKUP($C3,Formulas!$K$31:$L$34,2,FALSE)</f>
        <v>0.4</v>
      </c>
      <c r="BM3" s="219">
        <f ca="1" t="shared" ref="BM3:BM47" si="15">$D3*BP3</f>
        <v>0.52245651</v>
      </c>
      <c r="BN3" s="230" t="e">
        <f>VLOOKUP(BN$1,Formulas!$F$47:$G$55,2,FALSE)*($E3+BJ3+BK3)</f>
        <v>#REF!</v>
      </c>
      <c r="BO3" s="219">
        <f ca="1" t="shared" ref="BO3:BO47" si="16">10%*BP3</f>
        <v>0.261228255</v>
      </c>
      <c r="BP3" s="219">
        <f ca="1" t="shared" ref="BP3:BP47" si="17">$E3+BM3+BL3+BK3+BJ3+BN3+BO3</f>
        <v>2.61228255</v>
      </c>
      <c r="BQ3" s="225">
        <f ca="1">VLOOKUP(BQ$1,Formulas!$I$31:$J$39,2,FALSE)*BP3</f>
        <v>32.65353188</v>
      </c>
      <c r="BR3" s="226">
        <v>45</v>
      </c>
      <c r="BS3" s="226" t="s">
        <v>286</v>
      </c>
      <c r="BT3" s="225"/>
    </row>
    <row r="4" ht="12.5" spans="2:72">
      <c r="B4" s="52" t="e">
        <f>#REF!</f>
        <v>#REF!</v>
      </c>
      <c r="C4" s="52" t="s">
        <v>3</v>
      </c>
      <c r="D4" s="218">
        <v>0.2</v>
      </c>
      <c r="E4" s="219" t="e">
        <f>#REF!</f>
        <v>#REF!</v>
      </c>
      <c r="G4" s="219" t="e">
        <f t="array" ref="G4">INDEX(Formulas!$R$24:$W$64,MATCH($B4,Formulas!$Q$24:$Q$64,0),MATCH(G$1,Formulas!$R$23:$W$23,0))</f>
        <v>#REF!</v>
      </c>
      <c r="H4" s="219">
        <f t="array" ref="H4">INDEX(Formulas!$G$24:$O$27,MATCH($C4,Formulas!$F$24:$F$27,0),MATCH(H$1,Formulas!$G$23:$O$23,0))*45</f>
        <v>0.31896</v>
      </c>
      <c r="I4" s="219">
        <f>VLOOKUP($C4,Formulas!$K$31:$L$34,2,FALSE)</f>
        <v>0.4</v>
      </c>
      <c r="J4" s="219">
        <f ca="1" t="shared" si="0"/>
        <v>0.9378877143</v>
      </c>
      <c r="K4" s="219" t="e">
        <f>VLOOKUP(K$1,Formulas!$F$47:$G$55,2,FALSE)*($E4+G4+H4)</f>
        <v>#REF!</v>
      </c>
      <c r="L4" s="219">
        <f ca="1" t="shared" si="1"/>
        <v>0.4689438571</v>
      </c>
      <c r="M4" s="219">
        <f ca="1" t="shared" si="2"/>
        <v>4.689438571</v>
      </c>
      <c r="N4" s="225">
        <f ca="1">VLOOKUP(N$1,Formulas!$I$31:$J$39,2,FALSE)*M4</f>
        <v>4314.283486</v>
      </c>
      <c r="O4" s="226">
        <v>1390</v>
      </c>
      <c r="P4" s="226" t="s">
        <v>283</v>
      </c>
      <c r="R4" s="219" t="e">
        <f t="array" ref="R4">INDEX(Formulas!$R$24:$W$64,MATCH($B4,Formulas!$Q$24:$Q$64,0),MATCH(R$1,Formulas!$R$23:$W$23,0))</f>
        <v>#REF!</v>
      </c>
      <c r="S4" s="219">
        <f t="array" ref="S4">INDEX(Formulas!$G$24:$O$27,MATCH($C4,Formulas!$F$24:$F$27,0),MATCH(S$1,Formulas!$G$23:$O$23,0))*45</f>
        <v>0.227835</v>
      </c>
      <c r="T4" s="219">
        <f>VLOOKUP($C4,Formulas!$K$31:$L$34,2,FALSE)</f>
        <v>0.4</v>
      </c>
      <c r="U4" s="219">
        <f ca="1" t="shared" si="3"/>
        <v>0.9741887437</v>
      </c>
      <c r="V4" s="230" t="e">
        <f>VLOOKUP(V$1,Formulas!$F$47:$G$55,2,FALSE)*($E4+R4+S4)</f>
        <v>#REF!</v>
      </c>
      <c r="W4" s="219">
        <f ca="1" t="shared" si="4"/>
        <v>0.4870943719</v>
      </c>
      <c r="X4" s="219">
        <f ca="1" t="shared" si="5"/>
        <v>4.870943719</v>
      </c>
      <c r="Y4" s="225">
        <f ca="1">VLOOKUP(Y$1,Formulas!$I$31:$J$39,2,FALSE)*X4</f>
        <v>720.8996703</v>
      </c>
      <c r="Z4" s="226">
        <v>799</v>
      </c>
      <c r="AA4" s="226" t="s">
        <v>283</v>
      </c>
      <c r="AC4" s="219" t="e">
        <f t="array" ref="AC4">INDEX(Formulas!$R$24:$W$64,MATCH($B4,Formulas!$Q$24:$Q$64,0),MATCH(AC$1,Formulas!$R$23:$W$23,0))</f>
        <v>#REF!</v>
      </c>
      <c r="AD4" s="219">
        <f t="array" ref="AD4">INDEX(Formulas!$G$24:$O$27,MATCH($C4,Formulas!$F$24:$F$27,0),MATCH(AD$1,Formulas!$G$23:$O$23,0))*45</f>
        <v>0.227835</v>
      </c>
      <c r="AE4" s="219">
        <f>VLOOKUP($C4,Formulas!$K$31:$L$34,2,FALSE)</f>
        <v>0.4</v>
      </c>
      <c r="AF4" s="219">
        <f ca="1" t="shared" si="6"/>
        <v>1.1010594</v>
      </c>
      <c r="AG4" s="230" t="e">
        <f>VLOOKUP(AG$1,Formulas!$F$47:$G$55,2,FALSE)*($E4+AC4+AD4)</f>
        <v>#REF!</v>
      </c>
      <c r="AH4" s="219">
        <f ca="1" t="shared" si="7"/>
        <v>0.5505297</v>
      </c>
      <c r="AI4" s="219">
        <f ca="1" t="shared" si="8"/>
        <v>5.505297</v>
      </c>
      <c r="AJ4" s="225">
        <f ca="1">VLOOKUP(AJ$1,Formulas!$I$31:$J$39,2,FALSE)*AI4</f>
        <v>20920.1286</v>
      </c>
      <c r="AK4" s="227">
        <v>40000</v>
      </c>
      <c r="AL4" s="227" t="s">
        <v>283</v>
      </c>
      <c r="AN4" s="219" t="e">
        <f t="array" ref="AN4">INDEX(Formulas!$R$24:$W$64,MATCH($B4,Formulas!$Q$24:$Q$64,0),MATCH(AN$1,Formulas!$R$23:$W$23,0))</f>
        <v>#REF!</v>
      </c>
      <c r="AO4" s="219">
        <f t="array" ref="AO4">INDEX(Formulas!$G$24:$O$27,MATCH($C4,Formulas!$F$24:$F$27,0),MATCH(AO$1,Formulas!$G$23:$O$23,0))*45</f>
        <v>0.31896</v>
      </c>
      <c r="AP4" s="219">
        <f>VLOOKUP($C4,Formulas!$K$31:$L$34,2,FALSE)</f>
        <v>0.4</v>
      </c>
      <c r="AQ4" s="219">
        <f ca="1" t="shared" si="9"/>
        <v>0.908725456</v>
      </c>
      <c r="AR4" s="230" t="e">
        <f>VLOOKUP(AR$1,Formulas!$F$47:$G$55,2,FALSE)*($E4+AN4+AO4)</f>
        <v>#REF!</v>
      </c>
      <c r="AS4" s="219">
        <f ca="1" t="shared" si="10"/>
        <v>0.454362728</v>
      </c>
      <c r="AT4" s="219">
        <f ca="1" t="shared" si="11"/>
        <v>4.54362728</v>
      </c>
      <c r="AU4" s="225">
        <f ca="1">VLOOKUP(AU$1,Formulas!$I$31:$J$39,2,FALSE)*AT4</f>
        <v>3089.66655</v>
      </c>
      <c r="AV4" s="226">
        <v>3500</v>
      </c>
      <c r="AW4" s="226" t="s">
        <v>283</v>
      </c>
      <c r="AY4" s="219" t="e">
        <f t="array" ref="AY4">INDEX(Formulas!$R$24:$W$64,MATCH($B4,Formulas!$Q$24:$Q$64,0),MATCH(AY$1,Formulas!$R$23:$W$23,0))</f>
        <v>#REF!</v>
      </c>
      <c r="AZ4" s="219">
        <f t="array" ref="AZ4">INDEX(Formulas!$G$24:$O$27,MATCH($C4,Formulas!$F$24:$F$27,0),MATCH(AZ$1,Formulas!$G$23:$O$23,0))*45</f>
        <v>0.227835</v>
      </c>
      <c r="BA4" s="219">
        <f>VLOOKUP($C4,Formulas!$K$31:$L$34,2,FALSE)</f>
        <v>0.4</v>
      </c>
      <c r="BB4" s="219">
        <f ca="1" t="shared" si="12"/>
        <v>0.8860986686</v>
      </c>
      <c r="BC4" s="230" t="e">
        <f>VLOOKUP(BC$1,Formulas!$F$47:$G$55,2,FALSE)*($E4+AY4+AZ4)</f>
        <v>#REF!</v>
      </c>
      <c r="BD4" s="219">
        <f ca="1" t="shared" si="13"/>
        <v>0.4430493343</v>
      </c>
      <c r="BE4" s="219">
        <f ca="1" t="shared" si="14"/>
        <v>4.430493343</v>
      </c>
      <c r="BF4" s="225">
        <f ca="1">VLOOKUP(BF$1,Formulas!$I$31:$J$39,2,FALSE)*BE4</f>
        <v>3012.735473</v>
      </c>
      <c r="BG4" s="226">
        <v>3500</v>
      </c>
      <c r="BH4" s="226" t="s">
        <v>283</v>
      </c>
      <c r="BJ4" s="219" t="e">
        <f t="array" ref="BJ4">INDEX(Formulas!$R$24:$W$64,MATCH($B4,Formulas!$Q$24:$Q$64,0),MATCH(BJ$1,Formulas!$R$23:$W$23,0))</f>
        <v>#REF!</v>
      </c>
      <c r="BK4" s="219">
        <f t="array" ref="BK4">INDEX(Formulas!$G$24:$O$27,MATCH($C4,Formulas!$F$24:$F$27,0),MATCH(BK$1,Formulas!$G$23:$O$23,0))*45</f>
        <v>0.227835</v>
      </c>
      <c r="BL4" s="219">
        <f>VLOOKUP($C4,Formulas!$K$31:$L$34,2,FALSE)</f>
        <v>0.4</v>
      </c>
      <c r="BM4" s="219">
        <f ca="1" t="shared" si="15"/>
        <v>0.8927559471</v>
      </c>
      <c r="BN4" s="230" t="e">
        <f>VLOOKUP(BN$1,Formulas!$F$47:$G$55,2,FALSE)*($E4+BJ4+BK4)</f>
        <v>#REF!</v>
      </c>
      <c r="BO4" s="219">
        <f ca="1" t="shared" si="16"/>
        <v>0.4463779736</v>
      </c>
      <c r="BP4" s="219">
        <f ca="1" t="shared" si="17"/>
        <v>4.463779736</v>
      </c>
      <c r="BQ4" s="225">
        <f ca="1">VLOOKUP(BQ$1,Formulas!$I$31:$J$39,2,FALSE)*BP4</f>
        <v>55.7972467</v>
      </c>
      <c r="BR4" s="226">
        <v>85</v>
      </c>
      <c r="BS4" s="226" t="s">
        <v>287</v>
      </c>
      <c r="BT4" s="225"/>
    </row>
    <row r="5" ht="12.5" spans="2:72">
      <c r="B5" s="52" t="e">
        <f>#REF!</f>
        <v>#REF!</v>
      </c>
      <c r="C5" s="52" t="s">
        <v>3</v>
      </c>
      <c r="D5" s="218">
        <v>0.2</v>
      </c>
      <c r="E5" s="219" t="e">
        <f>#REF!</f>
        <v>#REF!</v>
      </c>
      <c r="G5" s="219" t="e">
        <f t="array" ref="G5">INDEX(Formulas!$R$24:$W$64,MATCH($B5,Formulas!$Q$24:$Q$64,0),MATCH(G$1,Formulas!$R$23:$W$23,0))</f>
        <v>#REF!</v>
      </c>
      <c r="H5" s="219">
        <f t="array" ref="H5">INDEX(Formulas!$G$24:$O$27,MATCH($C5,Formulas!$F$24:$F$27,0),MATCH(H$1,Formulas!$G$23:$O$23,0))*45</f>
        <v>0.31896</v>
      </c>
      <c r="I5" s="219">
        <f>VLOOKUP($C5,Formulas!$K$31:$L$34,2,FALSE)</f>
        <v>0.4</v>
      </c>
      <c r="J5" s="219">
        <f ca="1" t="shared" si="0"/>
        <v>1.103083489</v>
      </c>
      <c r="K5" s="219" t="e">
        <f>VLOOKUP(K$1,Formulas!$F$47:$G$55,2,FALSE)*($E5+G5+H5)</f>
        <v>#REF!</v>
      </c>
      <c r="L5" s="219">
        <f ca="1" t="shared" si="1"/>
        <v>0.5515417444</v>
      </c>
      <c r="M5" s="219">
        <f ca="1" t="shared" si="2"/>
        <v>5.515417444</v>
      </c>
      <c r="N5" s="225">
        <f ca="1">VLOOKUP(N$1,Formulas!$I$31:$J$39,2,FALSE)*M5</f>
        <v>5074.184049</v>
      </c>
      <c r="O5" s="226">
        <v>3990</v>
      </c>
      <c r="P5" s="226" t="s">
        <v>283</v>
      </c>
      <c r="R5" s="219" t="e">
        <f t="array" ref="R5">INDEX(Formulas!$R$24:$W$64,MATCH($B5,Formulas!$Q$24:$Q$64,0),MATCH(R$1,Formulas!$R$23:$W$23,0))</f>
        <v>#REF!</v>
      </c>
      <c r="S5" s="219">
        <f t="array" ref="S5">INDEX(Formulas!$G$24:$O$27,MATCH($C5,Formulas!$F$24:$F$27,0),MATCH(S$1,Formulas!$G$23:$O$23,0))*45</f>
        <v>0.227835</v>
      </c>
      <c r="T5" s="219">
        <f>VLOOKUP($C5,Formulas!$K$31:$L$34,2,FALSE)</f>
        <v>0.4</v>
      </c>
      <c r="U5" s="219">
        <f ca="1" t="shared" si="3"/>
        <v>1.190154245</v>
      </c>
      <c r="V5" s="230" t="e">
        <f>VLOOKUP(V$1,Formulas!$F$47:$G$55,2,FALSE)*($E5+R5+S5)</f>
        <v>#REF!</v>
      </c>
      <c r="W5" s="219">
        <f ca="1" t="shared" si="4"/>
        <v>0.5950771224</v>
      </c>
      <c r="X5" s="219">
        <f ca="1" t="shared" si="5"/>
        <v>5.950771224</v>
      </c>
      <c r="Y5" s="225">
        <f ca="1">VLOOKUP(Y$1,Formulas!$I$31:$J$39,2,FALSE)*X5</f>
        <v>880.7141412</v>
      </c>
      <c r="Z5" s="226"/>
      <c r="AA5" s="226" t="s">
        <v>288</v>
      </c>
      <c r="AC5" s="219" t="e">
        <f t="array" ref="AC5">INDEX(Formulas!$R$24:$W$64,MATCH($B5,Formulas!$Q$24:$Q$64,0),MATCH(AC$1,Formulas!$R$23:$W$23,0))</f>
        <v>#REF!</v>
      </c>
      <c r="AD5" s="219">
        <f t="array" ref="AD5">INDEX(Formulas!$G$24:$O$27,MATCH($C5,Formulas!$F$24:$F$27,0),MATCH(AD$1,Formulas!$G$23:$O$23,0))*45</f>
        <v>0.227835</v>
      </c>
      <c r="AE5" s="219">
        <f>VLOOKUP($C5,Formulas!$K$31:$L$34,2,FALSE)</f>
        <v>0.4</v>
      </c>
      <c r="AF5" s="219">
        <f ca="1" t="shared" si="6"/>
        <v>1.5569866</v>
      </c>
      <c r="AG5" s="230" t="e">
        <f>VLOOKUP(AG$1,Formulas!$F$47:$G$55,2,FALSE)*($E5+AC5+AD5)</f>
        <v>#REF!</v>
      </c>
      <c r="AH5" s="219">
        <f ca="1" t="shared" si="7"/>
        <v>0.7784933</v>
      </c>
      <c r="AI5" s="219">
        <f ca="1" t="shared" si="8"/>
        <v>7.784933</v>
      </c>
      <c r="AJ5" s="225">
        <f ca="1">VLOOKUP(AJ$1,Formulas!$I$31:$J$39,2,FALSE)*AI5</f>
        <v>29582.7454</v>
      </c>
      <c r="AK5" s="227">
        <v>40000</v>
      </c>
      <c r="AL5" s="226" t="s">
        <v>289</v>
      </c>
      <c r="AN5" s="219" t="e">
        <f t="array" ref="AN5">INDEX(Formulas!$R$24:$W$64,MATCH($B5,Formulas!$Q$24:$Q$64,0),MATCH(AN$1,Formulas!$R$23:$W$23,0))</f>
        <v>#REF!</v>
      </c>
      <c r="AO5" s="219">
        <f t="array" ref="AO5">INDEX(Formulas!$G$24:$O$27,MATCH($C5,Formulas!$F$24:$F$27,0),MATCH(AO$1,Formulas!$G$23:$O$23,0))*45</f>
        <v>0.31896</v>
      </c>
      <c r="AP5" s="219">
        <f>VLOOKUP($C5,Formulas!$K$31:$L$34,2,FALSE)</f>
        <v>0.4</v>
      </c>
      <c r="AQ5" s="219">
        <f ca="1" t="shared" si="9"/>
        <v>1.069254153</v>
      </c>
      <c r="AR5" s="230" t="e">
        <f>VLOOKUP(AR$1,Formulas!$F$47:$G$55,2,FALSE)*($E5+AN5+AO5)</f>
        <v>#REF!</v>
      </c>
      <c r="AS5" s="219">
        <f ca="1" t="shared" si="10"/>
        <v>0.5346270764</v>
      </c>
      <c r="AT5" s="219">
        <f ca="1" t="shared" si="11"/>
        <v>5.346270764</v>
      </c>
      <c r="AU5" s="225">
        <f ca="1">VLOOKUP(AU$1,Formulas!$I$31:$J$39,2,FALSE)*AT5</f>
        <v>3635.464119</v>
      </c>
      <c r="AV5" s="226">
        <v>3900</v>
      </c>
      <c r="AW5" s="226" t="s">
        <v>283</v>
      </c>
      <c r="AY5" s="219" t="e">
        <f t="array" ref="AY5">INDEX(Formulas!$R$24:$W$64,MATCH($B5,Formulas!$Q$24:$Q$64,0),MATCH(AY$1,Formulas!$R$23:$W$23,0))</f>
        <v>#REF!</v>
      </c>
      <c r="AZ5" s="219">
        <f t="array" ref="AZ5">INDEX(Formulas!$G$24:$O$27,MATCH($C5,Formulas!$F$24:$F$27,0),MATCH(AZ$1,Formulas!$G$23:$O$23,0))*45</f>
        <v>0.227835</v>
      </c>
      <c r="BA5" s="219">
        <f>VLOOKUP($C5,Formulas!$K$31:$L$34,2,FALSE)</f>
        <v>0.4</v>
      </c>
      <c r="BB5" s="219">
        <f ca="1" t="shared" si="12"/>
        <v>1.046376065</v>
      </c>
      <c r="BC5" s="230" t="e">
        <f>VLOOKUP(BC$1,Formulas!$F$47:$G$55,2,FALSE)*($E5+AY5+AZ5)</f>
        <v>#REF!</v>
      </c>
      <c r="BD5" s="219">
        <f ca="1" t="shared" si="13"/>
        <v>0.5231880325</v>
      </c>
      <c r="BE5" s="219">
        <f ca="1" t="shared" si="14"/>
        <v>5.231880325</v>
      </c>
      <c r="BF5" s="225">
        <f ca="1">VLOOKUP(BF$1,Formulas!$I$31:$J$39,2,FALSE)*BE5</f>
        <v>3557.678621</v>
      </c>
      <c r="BG5" s="226">
        <v>3900</v>
      </c>
      <c r="BH5" s="226" t="s">
        <v>283</v>
      </c>
      <c r="BJ5" s="219" t="e">
        <f t="array" ref="BJ5">INDEX(Formulas!$R$24:$W$64,MATCH($B5,Formulas!$Q$24:$Q$64,0),MATCH(BJ$1,Formulas!$R$23:$W$23,0))</f>
        <v>#REF!</v>
      </c>
      <c r="BK5" s="219">
        <f t="array" ref="BK5">INDEX(Formulas!$G$24:$O$27,MATCH($C5,Formulas!$F$24:$F$27,0),MATCH(BK$1,Formulas!$G$23:$O$23,0))*45</f>
        <v>0.227835</v>
      </c>
      <c r="BL5" s="219">
        <f>VLOOKUP($C5,Formulas!$K$31:$L$34,2,FALSE)</f>
        <v>0.4</v>
      </c>
      <c r="BM5" s="219">
        <f ca="1" t="shared" si="15"/>
        <v>0.9984219708</v>
      </c>
      <c r="BN5" s="230" t="e">
        <f>VLOOKUP(BN$1,Formulas!$F$47:$G$55,2,FALSE)*($E5+BJ5+BK5)</f>
        <v>#REF!</v>
      </c>
      <c r="BO5" s="219">
        <f ca="1" t="shared" si="16"/>
        <v>0.4992109854</v>
      </c>
      <c r="BP5" s="219">
        <f ca="1" t="shared" si="17"/>
        <v>4.992109854</v>
      </c>
      <c r="BQ5" s="225">
        <f ca="1">VLOOKUP(BQ$1,Formulas!$I$31:$J$39,2,FALSE)*BP5</f>
        <v>62.40137317</v>
      </c>
      <c r="BR5" s="226">
        <v>72</v>
      </c>
      <c r="BS5" s="226" t="s">
        <v>290</v>
      </c>
      <c r="BT5" s="225"/>
    </row>
    <row r="6" ht="12.5" spans="2:72">
      <c r="B6" s="52" t="e">
        <f>#REF!</f>
        <v>#REF!</v>
      </c>
      <c r="C6" s="52" t="s">
        <v>3</v>
      </c>
      <c r="D6" s="218">
        <v>0.2</v>
      </c>
      <c r="E6" s="219" t="e">
        <f>#REF!</f>
        <v>#REF!</v>
      </c>
      <c r="G6" s="219" t="e">
        <f t="array" ref="G6">INDEX(Formulas!$R$24:$W$64,MATCH($B6,Formulas!$Q$24:$Q$64,0),MATCH(G$1,Formulas!$R$23:$W$23,0))</f>
        <v>#REF!</v>
      </c>
      <c r="H6" s="219">
        <f t="array" ref="H6">INDEX(Formulas!$G$24:$O$27,MATCH($C6,Formulas!$F$24:$F$27,0),MATCH(H$1,Formulas!$G$23:$O$23,0))*45</f>
        <v>0.31896</v>
      </c>
      <c r="I6" s="219">
        <f>VLOOKUP($C6,Formulas!$K$31:$L$34,2,FALSE)</f>
        <v>0.4</v>
      </c>
      <c r="J6" s="219">
        <f ca="1" t="shared" si="0"/>
        <v>1.113062358</v>
      </c>
      <c r="K6" s="219" t="e">
        <f>VLOOKUP(K$1,Formulas!$F$47:$G$55,2,FALSE)*($E6+G6+H6)</f>
        <v>#REF!</v>
      </c>
      <c r="L6" s="219">
        <f ca="1" t="shared" si="1"/>
        <v>0.5565311789</v>
      </c>
      <c r="M6" s="219">
        <f ca="1" t="shared" si="2"/>
        <v>5.565311789</v>
      </c>
      <c r="N6" s="225">
        <f ca="1">VLOOKUP(N$1,Formulas!$I$31:$J$39,2,FALSE)*M6</f>
        <v>5120.086846</v>
      </c>
      <c r="O6" s="226">
        <v>2900</v>
      </c>
      <c r="P6" s="226" t="s">
        <v>283</v>
      </c>
      <c r="R6" s="219" t="e">
        <f t="array" ref="R6">INDEX(Formulas!$R$24:$W$64,MATCH($B6,Formulas!$Q$24:$Q$64,0),MATCH(R$1,Formulas!$R$23:$W$23,0))</f>
        <v>#REF!</v>
      </c>
      <c r="S6" s="219">
        <f t="array" ref="S6">INDEX(Formulas!$G$24:$O$27,MATCH($C6,Formulas!$F$24:$F$27,0),MATCH(S$1,Formulas!$G$23:$O$23,0))*45</f>
        <v>0.227835</v>
      </c>
      <c r="T6" s="219">
        <f>VLOOKUP($C6,Formulas!$K$31:$L$34,2,FALSE)</f>
        <v>0.4</v>
      </c>
      <c r="U6" s="219">
        <f ca="1" t="shared" si="3"/>
        <v>1.155512408</v>
      </c>
      <c r="V6" s="230" t="e">
        <f>VLOOKUP(V$1,Formulas!$F$47:$G$55,2,FALSE)*($E6+R6+S6)</f>
        <v>#REF!</v>
      </c>
      <c r="W6" s="219">
        <f ca="1" t="shared" si="4"/>
        <v>0.5777562041</v>
      </c>
      <c r="X6" s="219">
        <f ca="1" t="shared" si="5"/>
        <v>5.777562041</v>
      </c>
      <c r="Y6" s="225">
        <f ca="1">VLOOKUP(Y$1,Formulas!$I$31:$J$39,2,FALSE)*X6</f>
        <v>855.0791821</v>
      </c>
      <c r="Z6" s="226">
        <v>599</v>
      </c>
      <c r="AA6" s="226" t="s">
        <v>291</v>
      </c>
      <c r="AC6" s="219" t="e">
        <f t="array" ref="AC6">INDEX(Formulas!$R$24:$W$64,MATCH($B6,Formulas!$Q$24:$Q$64,0),MATCH(AC$1,Formulas!$R$23:$W$23,0))</f>
        <v>#REF!</v>
      </c>
      <c r="AD6" s="219">
        <f t="array" ref="AD6">INDEX(Formulas!$G$24:$O$27,MATCH($C6,Formulas!$F$24:$F$27,0),MATCH(AD$1,Formulas!$G$23:$O$23,0))*45</f>
        <v>0.227835</v>
      </c>
      <c r="AE6" s="219">
        <f>VLOOKUP($C6,Formulas!$K$31:$L$34,2,FALSE)</f>
        <v>0.4</v>
      </c>
      <c r="AF6" s="219">
        <f ca="1" t="shared" si="6"/>
        <v>1.26390868</v>
      </c>
      <c r="AG6" s="230" t="e">
        <f>VLOOKUP(AG$1,Formulas!$F$47:$G$55,2,FALSE)*($E6+AC6+AD6)</f>
        <v>#REF!</v>
      </c>
      <c r="AH6" s="219">
        <f ca="1" t="shared" si="7"/>
        <v>0.6319543401</v>
      </c>
      <c r="AI6" s="219">
        <f ca="1" t="shared" si="8"/>
        <v>6.319543401</v>
      </c>
      <c r="AJ6" s="225">
        <f ca="1">VLOOKUP(AJ$1,Formulas!$I$31:$J$39,2,FALSE)*AI6</f>
        <v>24014.26492</v>
      </c>
      <c r="AK6" s="227">
        <v>40000</v>
      </c>
      <c r="AL6" s="226" t="s">
        <v>283</v>
      </c>
      <c r="AN6" s="219" t="e">
        <f t="array" ref="AN6">INDEX(Formulas!$R$24:$W$64,MATCH($B6,Formulas!$Q$24:$Q$64,0),MATCH(AN$1,Formulas!$R$23:$W$23,0))</f>
        <v>#REF!</v>
      </c>
      <c r="AO6" s="219">
        <f t="array" ref="AO6">INDEX(Formulas!$G$24:$O$27,MATCH($C6,Formulas!$F$24:$F$27,0),MATCH(AO$1,Formulas!$G$23:$O$23,0))*45</f>
        <v>0.31896</v>
      </c>
      <c r="AP6" s="219">
        <f>VLOOKUP($C6,Formulas!$K$31:$L$34,2,FALSE)</f>
        <v>0.4</v>
      </c>
      <c r="AQ6" s="219">
        <f ca="1" t="shared" si="9"/>
        <v>1.077449768</v>
      </c>
      <c r="AR6" s="230" t="e">
        <f>VLOOKUP(AR$1,Formulas!$F$47:$G$55,2,FALSE)*($E6+AN6+AO6)</f>
        <v>#REF!</v>
      </c>
      <c r="AS6" s="219">
        <f ca="1" t="shared" si="10"/>
        <v>0.5387248842</v>
      </c>
      <c r="AT6" s="219">
        <f ca="1" t="shared" si="11"/>
        <v>5.387248842</v>
      </c>
      <c r="AU6" s="225">
        <f ca="1">VLOOKUP(AU$1,Formulas!$I$31:$J$39,2,FALSE)*AT6</f>
        <v>3663.329213</v>
      </c>
      <c r="AV6" s="226">
        <v>2500</v>
      </c>
      <c r="AW6" s="226" t="s">
        <v>283</v>
      </c>
      <c r="AY6" s="219" t="e">
        <f t="array" ref="AY6">INDEX(Formulas!$R$24:$W$64,MATCH($B6,Formulas!$Q$24:$Q$64,0),MATCH(AY$1,Formulas!$R$23:$W$23,0))</f>
        <v>#REF!</v>
      </c>
      <c r="AZ6" s="219">
        <f t="array" ref="AZ6">INDEX(Formulas!$G$24:$O$27,MATCH($C6,Formulas!$F$24:$F$27,0),MATCH(AZ$1,Formulas!$G$23:$O$23,0))*45</f>
        <v>0.227835</v>
      </c>
      <c r="BA6" s="219">
        <f>VLOOKUP($C6,Formulas!$K$31:$L$34,2,FALSE)</f>
        <v>0.4</v>
      </c>
      <c r="BB6" s="219">
        <f ca="1" t="shared" si="12"/>
        <v>1.056141874</v>
      </c>
      <c r="BC6" s="230" t="e">
        <f>VLOOKUP(BC$1,Formulas!$F$47:$G$55,2,FALSE)*($E6+AY6+AZ6)</f>
        <v>#REF!</v>
      </c>
      <c r="BD6" s="219">
        <f ca="1" t="shared" si="13"/>
        <v>0.5280709372</v>
      </c>
      <c r="BE6" s="219">
        <f ca="1" t="shared" si="14"/>
        <v>5.280709372</v>
      </c>
      <c r="BF6" s="225">
        <f ca="1">VLOOKUP(BF$1,Formulas!$I$31:$J$39,2,FALSE)*BE6</f>
        <v>3590.882373</v>
      </c>
      <c r="BG6" s="226">
        <v>2500</v>
      </c>
      <c r="BH6" s="226" t="s">
        <v>283</v>
      </c>
      <c r="BJ6" s="219" t="e">
        <f t="array" ref="BJ6">INDEX(Formulas!$R$24:$W$64,MATCH($B6,Formulas!$Q$24:$Q$64,0),MATCH(BJ$1,Formulas!$R$23:$W$23,0))</f>
        <v>#REF!</v>
      </c>
      <c r="BK6" s="219">
        <f t="array" ref="BK6">INDEX(Formulas!$G$24:$O$27,MATCH($C6,Formulas!$F$24:$F$27,0),MATCH(BK$1,Formulas!$G$23:$O$23,0))*45</f>
        <v>0.227835</v>
      </c>
      <c r="BL6" s="219">
        <f>VLOOKUP($C6,Formulas!$K$31:$L$34,2,FALSE)</f>
        <v>0.4</v>
      </c>
      <c r="BM6" s="219">
        <f ca="1" t="shared" si="15"/>
        <v>1.076435289</v>
      </c>
      <c r="BN6" s="230" t="e">
        <f>VLOOKUP(BN$1,Formulas!$F$47:$G$55,2,FALSE)*($E6+BJ6+BK6)</f>
        <v>#REF!</v>
      </c>
      <c r="BO6" s="219">
        <f ca="1" t="shared" si="16"/>
        <v>0.5382176445</v>
      </c>
      <c r="BP6" s="219">
        <f ca="1" t="shared" si="17"/>
        <v>5.382176445</v>
      </c>
      <c r="BQ6" s="225">
        <f ca="1">VLOOKUP(BQ$1,Formulas!$I$31:$J$39,2,FALSE)*BP6</f>
        <v>67.27720556</v>
      </c>
      <c r="BR6" s="226">
        <v>86</v>
      </c>
      <c r="BS6" s="226" t="s">
        <v>283</v>
      </c>
      <c r="BT6" s="225"/>
    </row>
    <row r="7" ht="12.5" spans="2:72">
      <c r="B7" s="52" t="e">
        <f>#REF!</f>
        <v>#REF!</v>
      </c>
      <c r="C7" s="52" t="s">
        <v>3</v>
      </c>
      <c r="D7" s="218">
        <v>0.2</v>
      </c>
      <c r="E7" s="219" t="e">
        <f>#REF!</f>
        <v>#REF!</v>
      </c>
      <c r="G7" s="219" t="e">
        <f t="array" ref="G7">INDEX(Formulas!$R$24:$W$64,MATCH($B7,Formulas!$Q$24:$Q$64,0),MATCH(G$1,Formulas!$R$23:$W$23,0))</f>
        <v>#REF!</v>
      </c>
      <c r="H7" s="219">
        <f t="array" ref="H7">INDEX(Formulas!$G$24:$O$27,MATCH($C7,Formulas!$F$24:$F$27,0),MATCH(H$1,Formulas!$G$23:$O$23,0))*45</f>
        <v>0.31896</v>
      </c>
      <c r="I7" s="219">
        <f>VLOOKUP($C7,Formulas!$K$31:$L$34,2,FALSE)</f>
        <v>0.4</v>
      </c>
      <c r="J7" s="219">
        <f ca="1" t="shared" si="0"/>
        <v>0.4112722743</v>
      </c>
      <c r="K7" s="219" t="e">
        <f>VLOOKUP(K$1,Formulas!$F$47:$G$55,2,FALSE)*($E7+G7+H7)</f>
        <v>#REF!</v>
      </c>
      <c r="L7" s="219">
        <f ca="1" t="shared" si="1"/>
        <v>0.2056361371</v>
      </c>
      <c r="M7" s="219">
        <f ca="1" t="shared" si="2"/>
        <v>2.056361371</v>
      </c>
      <c r="N7" s="225">
        <f ca="1">VLOOKUP(N$1,Formulas!$I$31:$J$39,2,FALSE)*M7</f>
        <v>1891.852462</v>
      </c>
      <c r="O7" s="226">
        <v>990</v>
      </c>
      <c r="P7" s="226" t="s">
        <v>283</v>
      </c>
      <c r="R7" s="219" t="e">
        <f t="array" ref="R7">INDEX(Formulas!$R$24:$W$64,MATCH($B7,Formulas!$Q$24:$Q$64,0),MATCH(R$1,Formulas!$R$23:$W$23,0))</f>
        <v>#REF!</v>
      </c>
      <c r="S7" s="219">
        <f t="array" ref="S7">INDEX(Formulas!$G$24:$O$27,MATCH($C7,Formulas!$F$24:$F$27,0),MATCH(S$1,Formulas!$G$23:$O$23,0))*45</f>
        <v>0.227835</v>
      </c>
      <c r="T7" s="219">
        <f>VLOOKUP($C7,Formulas!$K$31:$L$34,2,FALSE)</f>
        <v>0.4</v>
      </c>
      <c r="U7" s="219">
        <f ca="1" t="shared" si="3"/>
        <v>0.4159048511</v>
      </c>
      <c r="V7" s="230" t="e">
        <f>VLOOKUP(V$1,Formulas!$F$47:$G$55,2,FALSE)*($E7+R7+S7)</f>
        <v>#REF!</v>
      </c>
      <c r="W7" s="219">
        <f ca="1" t="shared" si="4"/>
        <v>0.2079524256</v>
      </c>
      <c r="X7" s="219">
        <f ca="1" t="shared" si="5"/>
        <v>2.079524256</v>
      </c>
      <c r="Y7" s="225">
        <f ca="1">VLOOKUP(Y$1,Formulas!$I$31:$J$39,2,FALSE)*X7</f>
        <v>307.7695898</v>
      </c>
      <c r="Z7" s="226">
        <v>699</v>
      </c>
      <c r="AA7" s="226" t="s">
        <v>292</v>
      </c>
      <c r="AC7" s="219" t="e">
        <f t="array" ref="AC7">INDEX(Formulas!$R$24:$W$64,MATCH($B7,Formulas!$Q$24:$Q$64,0),MATCH(AC$1,Formulas!$R$23:$W$23,0))</f>
        <v>#REF!</v>
      </c>
      <c r="AD7" s="219">
        <f t="array" ref="AD7">INDEX(Formulas!$G$24:$O$27,MATCH($C7,Formulas!$F$24:$F$27,0),MATCH(AD$1,Formulas!$G$23:$O$23,0))*45</f>
        <v>0.227835</v>
      </c>
      <c r="AE7" s="219">
        <f>VLOOKUP($C7,Formulas!$K$31:$L$34,2,FALSE)</f>
        <v>0.4</v>
      </c>
      <c r="AF7" s="219">
        <f ca="1" t="shared" si="6"/>
        <v>0.5228627143</v>
      </c>
      <c r="AG7" s="230" t="e">
        <f>VLOOKUP(AG$1,Formulas!$F$47:$G$55,2,FALSE)*($E7+AC7+AD7)</f>
        <v>#REF!</v>
      </c>
      <c r="AH7" s="219">
        <f ca="1" t="shared" si="7"/>
        <v>0.2614313571</v>
      </c>
      <c r="AI7" s="219">
        <f ca="1" t="shared" si="8"/>
        <v>2.614313571</v>
      </c>
      <c r="AJ7" s="225">
        <f ca="1">VLOOKUP(AJ$1,Formulas!$I$31:$J$39,2,FALSE)*AI7</f>
        <v>9934.391571</v>
      </c>
      <c r="AK7" s="227">
        <v>15000</v>
      </c>
      <c r="AL7" s="226" t="s">
        <v>283</v>
      </c>
      <c r="AN7" s="219" t="e">
        <f t="array" ref="AN7">INDEX(Formulas!$R$24:$W$64,MATCH($B7,Formulas!$Q$24:$Q$64,0),MATCH(AN$1,Formulas!$R$23:$W$23,0))</f>
        <v>#REF!</v>
      </c>
      <c r="AO7" s="219">
        <f t="array" ref="AO7">INDEX(Formulas!$G$24:$O$27,MATCH($C7,Formulas!$F$24:$F$27,0),MATCH(AO$1,Formulas!$G$23:$O$23,0))*45</f>
        <v>0.31896</v>
      </c>
      <c r="AP7" s="219">
        <f>VLOOKUP($C7,Formulas!$K$31:$L$34,2,FALSE)</f>
        <v>0.4</v>
      </c>
      <c r="AQ7" s="219">
        <f ca="1" t="shared" si="9"/>
        <v>0.4010861623</v>
      </c>
      <c r="AR7" s="230" t="e">
        <f>VLOOKUP(AR$1,Formulas!$F$47:$G$55,2,FALSE)*($E7+AN7+AO7)</f>
        <v>#REF!</v>
      </c>
      <c r="AS7" s="219">
        <f ca="1" t="shared" si="10"/>
        <v>0.2005430811</v>
      </c>
      <c r="AT7" s="219">
        <f ca="1" t="shared" si="11"/>
        <v>2.005430811</v>
      </c>
      <c r="AU7" s="225">
        <f ca="1">VLOOKUP(AU$1,Formulas!$I$31:$J$39,2,FALSE)*AT7</f>
        <v>1363.692952</v>
      </c>
      <c r="AV7" s="226">
        <v>2500</v>
      </c>
      <c r="AW7" s="226" t="s">
        <v>283</v>
      </c>
      <c r="AY7" s="219" t="e">
        <f t="array" ref="AY7">INDEX(Formulas!$R$24:$W$64,MATCH($B7,Formulas!$Q$24:$Q$64,0),MATCH(AY$1,Formulas!$R$23:$W$23,0))</f>
        <v>#REF!</v>
      </c>
      <c r="AZ7" s="219">
        <f t="array" ref="AZ7">INDEX(Formulas!$G$24:$O$27,MATCH($C7,Formulas!$F$24:$F$27,0),MATCH(AZ$1,Formulas!$G$23:$O$23,0))*45</f>
        <v>0.227835</v>
      </c>
      <c r="BA7" s="219">
        <f>VLOOKUP($C7,Formulas!$K$31:$L$34,2,FALSE)</f>
        <v>0.4</v>
      </c>
      <c r="BB7" s="219">
        <f ca="1" t="shared" si="12"/>
        <v>0.3749327486</v>
      </c>
      <c r="BC7" s="230" t="e">
        <f>VLOOKUP(BC$1,Formulas!$F$47:$G$55,2,FALSE)*($E7+AY7+AZ7)</f>
        <v>#REF!</v>
      </c>
      <c r="BD7" s="219">
        <f ca="1" t="shared" si="13"/>
        <v>0.1874663743</v>
      </c>
      <c r="BE7" s="219">
        <f ca="1" t="shared" si="14"/>
        <v>1.874663743</v>
      </c>
      <c r="BF7" s="225">
        <f ca="1">VLOOKUP(BF$1,Formulas!$I$31:$J$39,2,FALSE)*BE7</f>
        <v>1274.771345</v>
      </c>
      <c r="BG7" s="226">
        <v>2500</v>
      </c>
      <c r="BH7" s="226" t="s">
        <v>283</v>
      </c>
      <c r="BJ7" s="219" t="e">
        <f t="array" ref="BJ7">INDEX(Formulas!$R$24:$W$64,MATCH($B7,Formulas!$Q$24:$Q$64,0),MATCH(BJ$1,Formulas!$R$23:$W$23,0))</f>
        <v>#REF!</v>
      </c>
      <c r="BK7" s="219">
        <f t="array" ref="BK7">INDEX(Formulas!$G$24:$O$27,MATCH($C7,Formulas!$F$24:$F$27,0),MATCH(BK$1,Formulas!$G$23:$O$23,0))*45</f>
        <v>0.227835</v>
      </c>
      <c r="BL7" s="219">
        <f>VLOOKUP($C7,Formulas!$K$31:$L$34,2,FALSE)</f>
        <v>0.4</v>
      </c>
      <c r="BM7" s="219">
        <f ca="1" t="shared" si="15"/>
        <v>0.3603754414</v>
      </c>
      <c r="BN7" s="230" t="e">
        <f>VLOOKUP(BN$1,Formulas!$F$47:$G$55,2,FALSE)*($E7+BJ7+BK7)</f>
        <v>#REF!</v>
      </c>
      <c r="BO7" s="219">
        <f ca="1" t="shared" si="16"/>
        <v>0.1801877207</v>
      </c>
      <c r="BP7" s="219">
        <f ca="1" t="shared" si="17"/>
        <v>1.801877207</v>
      </c>
      <c r="BQ7" s="225">
        <f ca="1">VLOOKUP(BQ$1,Formulas!$I$31:$J$39,2,FALSE)*BP7</f>
        <v>22.52346509</v>
      </c>
      <c r="BR7" s="226">
        <v>40</v>
      </c>
      <c r="BS7" s="226" t="s">
        <v>283</v>
      </c>
      <c r="BT7" s="225"/>
    </row>
    <row r="8" ht="12.5" spans="2:72">
      <c r="B8" s="52" t="e">
        <f>#REF!</f>
        <v>#REF!</v>
      </c>
      <c r="C8" s="52" t="s">
        <v>3</v>
      </c>
      <c r="D8" s="218">
        <v>0.2</v>
      </c>
      <c r="E8" s="219" t="e">
        <f>#REF!</f>
        <v>#REF!</v>
      </c>
      <c r="G8" s="219" t="e">
        <f t="array" ref="G8">INDEX(Formulas!$R$24:$W$64,MATCH($B8,Formulas!$Q$24:$Q$64,0),MATCH(G$1,Formulas!$R$23:$W$23,0))</f>
        <v>#REF!</v>
      </c>
      <c r="H8" s="219">
        <f t="array" ref="H8">INDEX(Formulas!$G$24:$O$27,MATCH($C8,Formulas!$F$24:$F$27,0),MATCH(H$1,Formulas!$G$23:$O$23,0))*45</f>
        <v>0.31896</v>
      </c>
      <c r="I8" s="219">
        <f>VLOOKUP($C8,Formulas!$K$31:$L$34,2,FALSE)</f>
        <v>0.4</v>
      </c>
      <c r="J8" s="219">
        <f ca="1" t="shared" si="0"/>
        <v>1.502857439</v>
      </c>
      <c r="K8" s="219" t="e">
        <f>VLOOKUP(K$1,Formulas!$F$47:$G$55,2,FALSE)*($E8+G8+H8)</f>
        <v>#REF!</v>
      </c>
      <c r="L8" s="219">
        <f ca="1" t="shared" si="1"/>
        <v>0.7514287195</v>
      </c>
      <c r="M8" s="219">
        <f ca="1" t="shared" si="2"/>
        <v>7.514287195</v>
      </c>
      <c r="N8" s="225">
        <f ca="1">VLOOKUP(N$1,Formulas!$I$31:$J$39,2,FALSE)*M8</f>
        <v>6913.14422</v>
      </c>
      <c r="O8" s="226">
        <v>3800</v>
      </c>
      <c r="P8" s="226" t="s">
        <v>283</v>
      </c>
      <c r="R8" s="219" t="e">
        <f t="array" ref="R8">INDEX(Formulas!$R$24:$W$64,MATCH($B8,Formulas!$Q$24:$Q$64,0),MATCH(R$1,Formulas!$R$23:$W$23,0))</f>
        <v>#REF!</v>
      </c>
      <c r="S8" s="219">
        <f t="array" ref="S8">INDEX(Formulas!$G$24:$O$27,MATCH($C8,Formulas!$F$24:$F$27,0),MATCH(S$1,Formulas!$G$23:$O$23,0))*45</f>
        <v>0.227835</v>
      </c>
      <c r="T8" s="219">
        <f>VLOOKUP($C8,Formulas!$K$31:$L$34,2,FALSE)</f>
        <v>0.4</v>
      </c>
      <c r="U8" s="219">
        <f ca="1" t="shared" si="3"/>
        <v>1.632101072</v>
      </c>
      <c r="V8" s="230" t="e">
        <f>VLOOKUP(V$1,Formulas!$F$47:$G$55,2,FALSE)*($E8+R8+S8)</f>
        <v>#REF!</v>
      </c>
      <c r="W8" s="219">
        <f ca="1" t="shared" si="4"/>
        <v>0.8160505362</v>
      </c>
      <c r="X8" s="219">
        <f ca="1" t="shared" si="5"/>
        <v>8.160505362</v>
      </c>
      <c r="Y8" s="225">
        <f ca="1">VLOOKUP(Y$1,Formulas!$I$31:$J$39,2,FALSE)*X8</f>
        <v>1207.754794</v>
      </c>
      <c r="Z8" s="226">
        <v>900</v>
      </c>
      <c r="AA8" s="226" t="s">
        <v>291</v>
      </c>
      <c r="AC8" s="219" t="e">
        <f t="array" ref="AC8">INDEX(Formulas!$R$24:$W$64,MATCH($B8,Formulas!$Q$24:$Q$64,0),MATCH(AC$1,Formulas!$R$23:$W$23,0))</f>
        <v>#REF!</v>
      </c>
      <c r="AD8" s="219">
        <f t="array" ref="AD8">INDEX(Formulas!$G$24:$O$27,MATCH($C8,Formulas!$F$24:$F$27,0),MATCH(AD$1,Formulas!$G$23:$O$23,0))*45</f>
        <v>0.227835</v>
      </c>
      <c r="AE8" s="219">
        <f>VLOOKUP($C8,Formulas!$K$31:$L$34,2,FALSE)</f>
        <v>0.4</v>
      </c>
      <c r="AF8" s="219">
        <f ca="1" t="shared" si="6"/>
        <v>2.117826179</v>
      </c>
      <c r="AG8" s="230" t="e">
        <f>VLOOKUP(AG$1,Formulas!$F$47:$G$55,2,FALSE)*($E8+AC8+AD8)</f>
        <v>#REF!</v>
      </c>
      <c r="AH8" s="219">
        <f ca="1" t="shared" si="7"/>
        <v>1.05891309</v>
      </c>
      <c r="AI8" s="219">
        <f ca="1" t="shared" si="8"/>
        <v>10.5891309</v>
      </c>
      <c r="AJ8" s="225">
        <f ca="1">VLOOKUP(AJ$1,Formulas!$I$31:$J$39,2,FALSE)*AI8</f>
        <v>40238.69741</v>
      </c>
      <c r="AK8" s="227">
        <v>35000</v>
      </c>
      <c r="AL8" s="226" t="s">
        <v>283</v>
      </c>
      <c r="AN8" s="219" t="e">
        <f t="array" ref="AN8">INDEX(Formulas!$R$24:$W$64,MATCH($B8,Formulas!$Q$24:$Q$64,0),MATCH(AN$1,Formulas!$R$23:$W$23,0))</f>
        <v>#REF!</v>
      </c>
      <c r="AO8" s="219">
        <f t="array" ref="AO8">INDEX(Formulas!$G$24:$O$27,MATCH($C8,Formulas!$F$24:$F$27,0),MATCH(AO$1,Formulas!$G$23:$O$23,0))*45</f>
        <v>0.31896</v>
      </c>
      <c r="AP8" s="219">
        <f>VLOOKUP($C8,Formulas!$K$31:$L$34,2,FALSE)</f>
        <v>0.4</v>
      </c>
      <c r="AQ8" s="219">
        <f ca="1" t="shared" si="9"/>
        <v>1.455193433</v>
      </c>
      <c r="AR8" s="230" t="e">
        <f>VLOOKUP(AR$1,Formulas!$F$47:$G$55,2,FALSE)*($E8+AN8+AO8)</f>
        <v>#REF!</v>
      </c>
      <c r="AS8" s="219">
        <f ca="1" t="shared" si="10"/>
        <v>0.7275967163</v>
      </c>
      <c r="AT8" s="219">
        <f ca="1" t="shared" si="11"/>
        <v>7.275967163</v>
      </c>
      <c r="AU8" s="225">
        <f ca="1">VLOOKUP(AU$1,Formulas!$I$31:$J$39,2,FALSE)*AT8</f>
        <v>4947.657671</v>
      </c>
      <c r="AV8" s="226">
        <v>3500</v>
      </c>
      <c r="AW8" s="226" t="s">
        <v>283</v>
      </c>
      <c r="AY8" s="219" t="e">
        <f t="array" ref="AY8">INDEX(Formulas!$R$24:$W$64,MATCH($B8,Formulas!$Q$24:$Q$64,0),MATCH(AY$1,Formulas!$R$23:$W$23,0))</f>
        <v>#REF!</v>
      </c>
      <c r="AZ8" s="219">
        <f t="array" ref="AZ8">INDEX(Formulas!$G$24:$O$27,MATCH($C8,Formulas!$F$24:$F$27,0),MATCH(AZ$1,Formulas!$G$23:$O$23,0))*45</f>
        <v>0.227835</v>
      </c>
      <c r="BA8" s="219">
        <f>VLOOKUP($C8,Formulas!$K$31:$L$34,2,FALSE)</f>
        <v>0.4</v>
      </c>
      <c r="BB8" s="219">
        <f ca="1" t="shared" si="12"/>
        <v>1.434389738</v>
      </c>
      <c r="BC8" s="230" t="e">
        <f>VLOOKUP(BC$1,Formulas!$F$47:$G$55,2,FALSE)*($E8+AY8+AZ8)</f>
        <v>#REF!</v>
      </c>
      <c r="BD8" s="219">
        <f ca="1" t="shared" si="13"/>
        <v>0.7171948689</v>
      </c>
      <c r="BE8" s="219">
        <f ca="1" t="shared" si="14"/>
        <v>7.171948689</v>
      </c>
      <c r="BF8" s="225">
        <f ca="1">VLOOKUP(BF$1,Formulas!$I$31:$J$39,2,FALSE)*BE8</f>
        <v>4876.925109</v>
      </c>
      <c r="BG8" s="226">
        <v>3500</v>
      </c>
      <c r="BH8" s="226" t="s">
        <v>283</v>
      </c>
      <c r="BJ8" s="219" t="e">
        <f t="array" ref="BJ8">INDEX(Formulas!$R$24:$W$64,MATCH($B8,Formulas!$Q$24:$Q$64,0),MATCH(BJ$1,Formulas!$R$23:$W$23,0))</f>
        <v>#REF!</v>
      </c>
      <c r="BK8" s="219">
        <f t="array" ref="BK8">INDEX(Formulas!$G$24:$O$27,MATCH($C8,Formulas!$F$24:$F$27,0),MATCH(BK$1,Formulas!$G$23:$O$23,0))*45</f>
        <v>0.227835</v>
      </c>
      <c r="BL8" s="219">
        <f>VLOOKUP($C8,Formulas!$K$31:$L$34,2,FALSE)</f>
        <v>0.4</v>
      </c>
      <c r="BM8" s="219">
        <f ca="1" t="shared" si="15"/>
        <v>1.375336492</v>
      </c>
      <c r="BN8" s="230" t="e">
        <f>VLOOKUP(BN$1,Formulas!$F$47:$G$55,2,FALSE)*($E8+BJ8+BK8)</f>
        <v>#REF!</v>
      </c>
      <c r="BO8" s="219">
        <f ca="1" t="shared" si="16"/>
        <v>0.6876682462</v>
      </c>
      <c r="BP8" s="219">
        <f ca="1" t="shared" si="17"/>
        <v>6.876682462</v>
      </c>
      <c r="BQ8" s="225">
        <f ca="1">VLOOKUP(BQ$1,Formulas!$I$31:$J$39,2,FALSE)*BP8</f>
        <v>85.95853078</v>
      </c>
      <c r="BR8" s="226">
        <v>95</v>
      </c>
      <c r="BS8" s="226" t="s">
        <v>283</v>
      </c>
      <c r="BT8" s="225"/>
    </row>
    <row r="9" ht="12.5" spans="2:72">
      <c r="B9" s="52" t="e">
        <f>#REF!</f>
        <v>#REF!</v>
      </c>
      <c r="C9" s="52" t="s">
        <v>3</v>
      </c>
      <c r="D9" s="218">
        <v>0.2</v>
      </c>
      <c r="E9" s="219" t="e">
        <f>#REF!</f>
        <v>#REF!</v>
      </c>
      <c r="G9" s="219" t="e">
        <f t="array" ref="G9">INDEX(Formulas!$R$24:$W$64,MATCH($B9,Formulas!$Q$24:$Q$64,0),MATCH(G$1,Formulas!$R$23:$W$23,0))</f>
        <v>#REF!</v>
      </c>
      <c r="H9" s="219">
        <f t="array" ref="H9">INDEX(Formulas!$G$24:$O$27,MATCH($C9,Formulas!$F$24:$F$27,0),MATCH(H$1,Formulas!$G$23:$O$23,0))*45</f>
        <v>0.31896</v>
      </c>
      <c r="I9" s="219">
        <f>VLOOKUP($C9,Formulas!$K$31:$L$34,2,FALSE)</f>
        <v>0.4</v>
      </c>
      <c r="J9" s="219">
        <f ca="1" t="shared" si="0"/>
        <v>1.007369291</v>
      </c>
      <c r="K9" s="219" t="e">
        <f>VLOOKUP(K$1,Formulas!$F$47:$G$55,2,FALSE)*($E9+G9+H9)</f>
        <v>#REF!</v>
      </c>
      <c r="L9" s="219">
        <f ca="1" t="shared" si="1"/>
        <v>0.5036846456</v>
      </c>
      <c r="M9" s="219">
        <f ca="1" t="shared" si="2"/>
        <v>5.036846456</v>
      </c>
      <c r="N9" s="225">
        <f ca="1">VLOOKUP(N$1,Formulas!$I$31:$J$39,2,FALSE)*M9</f>
        <v>4633.89874</v>
      </c>
      <c r="O9" s="226">
        <v>3000</v>
      </c>
      <c r="P9" s="226" t="s">
        <v>283</v>
      </c>
      <c r="R9" s="219" t="e">
        <f t="array" ref="R9">INDEX(Formulas!$R$24:$W$64,MATCH($B9,Formulas!$Q$24:$Q$64,0),MATCH(R$1,Formulas!$R$23:$W$23,0))</f>
        <v>#REF!</v>
      </c>
      <c r="S9" s="219">
        <f t="array" ref="S9">INDEX(Formulas!$G$24:$O$27,MATCH($C9,Formulas!$F$24:$F$27,0),MATCH(S$1,Formulas!$G$23:$O$23,0))*45</f>
        <v>0.227835</v>
      </c>
      <c r="T9" s="219">
        <f>VLOOKUP($C9,Formulas!$K$31:$L$34,2,FALSE)</f>
        <v>0.4</v>
      </c>
      <c r="U9" s="219">
        <f ca="1" t="shared" si="3"/>
        <v>1.076272254</v>
      </c>
      <c r="V9" s="230" t="e">
        <f>VLOOKUP(V$1,Formulas!$F$47:$G$55,2,FALSE)*($E9+R9+S9)</f>
        <v>#REF!</v>
      </c>
      <c r="W9" s="219">
        <f ca="1" t="shared" si="4"/>
        <v>0.5381361268</v>
      </c>
      <c r="X9" s="219">
        <f ca="1" t="shared" si="5"/>
        <v>5.381361268</v>
      </c>
      <c r="Y9" s="225">
        <f ca="1">VLOOKUP(Y$1,Formulas!$I$31:$J$39,2,FALSE)*X9</f>
        <v>796.4414676</v>
      </c>
      <c r="Z9" s="226"/>
      <c r="AA9" s="226" t="s">
        <v>283</v>
      </c>
      <c r="AC9" s="219" t="e">
        <f t="array" ref="AC9">INDEX(Formulas!$R$24:$W$64,MATCH($B9,Formulas!$Q$24:$Q$64,0),MATCH(AC$1,Formulas!$R$23:$W$23,0))</f>
        <v>#REF!</v>
      </c>
      <c r="AD9" s="219">
        <f t="array" ref="AD9">INDEX(Formulas!$G$24:$O$27,MATCH($C9,Formulas!$F$24:$F$27,0),MATCH(AD$1,Formulas!$G$23:$O$23,0))*45</f>
        <v>0.227835</v>
      </c>
      <c r="AE9" s="219">
        <f>VLOOKUP($C9,Formulas!$K$31:$L$34,2,FALSE)</f>
        <v>0.4</v>
      </c>
      <c r="AF9" s="219">
        <f ca="1" t="shared" si="6"/>
        <v>1.368447781</v>
      </c>
      <c r="AG9" s="230" t="e">
        <f>VLOOKUP(AG$1,Formulas!$F$47:$G$55,2,FALSE)*($E9+AC9+AD9)</f>
        <v>#REF!</v>
      </c>
      <c r="AH9" s="219">
        <f ca="1" t="shared" si="7"/>
        <v>0.6842238905</v>
      </c>
      <c r="AI9" s="219">
        <f ca="1" t="shared" si="8"/>
        <v>6.842238905</v>
      </c>
      <c r="AJ9" s="225">
        <f ca="1">VLOOKUP(AJ$1,Formulas!$I$31:$J$39,2,FALSE)*AI9</f>
        <v>26000.50784</v>
      </c>
      <c r="AK9" s="226" t="s">
        <v>293</v>
      </c>
      <c r="AL9" s="226" t="s">
        <v>294</v>
      </c>
      <c r="AN9" s="219" t="e">
        <f t="array" ref="AN9">INDEX(Formulas!$R$24:$W$64,MATCH($B9,Formulas!$Q$24:$Q$64,0),MATCH(AN$1,Formulas!$R$23:$W$23,0))</f>
        <v>#REF!</v>
      </c>
      <c r="AO9" s="219">
        <f t="array" ref="AO9">INDEX(Formulas!$G$24:$O$27,MATCH($C9,Formulas!$F$24:$F$27,0),MATCH(AO$1,Formulas!$G$23:$O$23,0))*45</f>
        <v>0.31896</v>
      </c>
      <c r="AP9" s="219">
        <f>VLOOKUP($C9,Formulas!$K$31:$L$34,2,FALSE)</f>
        <v>0.4</v>
      </c>
      <c r="AQ9" s="219">
        <f ca="1" t="shared" si="9"/>
        <v>0.9765981745</v>
      </c>
      <c r="AR9" s="230" t="e">
        <f>VLOOKUP(AR$1,Formulas!$F$47:$G$55,2,FALSE)*($E9+AN9+AO9)</f>
        <v>#REF!</v>
      </c>
      <c r="AS9" s="219">
        <f ca="1" t="shared" si="10"/>
        <v>0.4882990873</v>
      </c>
      <c r="AT9" s="219">
        <f ca="1" t="shared" si="11"/>
        <v>4.882990873</v>
      </c>
      <c r="AU9" s="225">
        <f ca="1">VLOOKUP(AU$1,Formulas!$I$31:$J$39,2,FALSE)*AT9</f>
        <v>3320.433793</v>
      </c>
      <c r="AV9" s="226">
        <v>4000</v>
      </c>
      <c r="AW9" s="226" t="s">
        <v>283</v>
      </c>
      <c r="AY9" s="219" t="e">
        <f t="array" ref="AY9">INDEX(Formulas!$R$24:$W$64,MATCH($B9,Formulas!$Q$24:$Q$64,0),MATCH(AY$1,Formulas!$R$23:$W$23,0))</f>
        <v>#REF!</v>
      </c>
      <c r="AZ9" s="219">
        <f t="array" ref="AZ9">INDEX(Formulas!$G$24:$O$27,MATCH($C9,Formulas!$F$24:$F$27,0),MATCH(AZ$1,Formulas!$G$23:$O$23,0))*45</f>
        <v>0.227835</v>
      </c>
      <c r="BA9" s="219">
        <f>VLOOKUP($C9,Formulas!$K$31:$L$34,2,FALSE)</f>
        <v>0.4</v>
      </c>
      <c r="BB9" s="219">
        <f ca="1" t="shared" si="12"/>
        <v>0.9534917457</v>
      </c>
      <c r="BC9" s="230" t="e">
        <f>VLOOKUP(BC$1,Formulas!$F$47:$G$55,2,FALSE)*($E9+AY9+AZ9)</f>
        <v>#REF!</v>
      </c>
      <c r="BD9" s="219">
        <f ca="1" t="shared" si="13"/>
        <v>0.4767458728</v>
      </c>
      <c r="BE9" s="219">
        <f ca="1" t="shared" si="14"/>
        <v>4.767458728</v>
      </c>
      <c r="BF9" s="225">
        <f ca="1">VLOOKUP(BF$1,Formulas!$I$31:$J$39,2,FALSE)*BE9</f>
        <v>3241.871935</v>
      </c>
      <c r="BG9" s="226">
        <v>4000</v>
      </c>
      <c r="BH9" s="226" t="s">
        <v>283</v>
      </c>
      <c r="BJ9" s="219" t="e">
        <f t="array" ref="BJ9">INDEX(Formulas!$R$24:$W$64,MATCH($B9,Formulas!$Q$24:$Q$64,0),MATCH(BJ$1,Formulas!$R$23:$W$23,0))</f>
        <v>#REF!</v>
      </c>
      <c r="BK9" s="219">
        <f t="array" ref="BK9">INDEX(Formulas!$G$24:$O$27,MATCH($C9,Formulas!$F$24:$F$27,0),MATCH(BK$1,Formulas!$G$23:$O$23,0))*45</f>
        <v>0.227835</v>
      </c>
      <c r="BL9" s="219">
        <f>VLOOKUP($C9,Formulas!$K$31:$L$34,2,FALSE)</f>
        <v>0.4</v>
      </c>
      <c r="BM9" s="219">
        <f ca="1" t="shared" si="15"/>
        <v>0.92030367</v>
      </c>
      <c r="BN9" s="230" t="e">
        <f>VLOOKUP(BN$1,Formulas!$F$47:$G$55,2,FALSE)*($E9+BJ9+BK9)</f>
        <v>#REF!</v>
      </c>
      <c r="BO9" s="219">
        <f ca="1" t="shared" si="16"/>
        <v>0.460151835</v>
      </c>
      <c r="BP9" s="219">
        <f ca="1" t="shared" si="17"/>
        <v>4.60151835</v>
      </c>
      <c r="BQ9" s="225">
        <f ca="1">VLOOKUP(BQ$1,Formulas!$I$31:$J$39,2,FALSE)*BP9</f>
        <v>57.51897938</v>
      </c>
      <c r="BR9" s="226">
        <v>78</v>
      </c>
      <c r="BS9" s="226" t="s">
        <v>283</v>
      </c>
      <c r="BT9" s="225"/>
    </row>
    <row r="10" ht="12.5" spans="2:72">
      <c r="B10" s="52" t="e">
        <f>#REF!</f>
        <v>#REF!</v>
      </c>
      <c r="C10" s="52" t="s">
        <v>3</v>
      </c>
      <c r="D10" s="218">
        <v>0.2</v>
      </c>
      <c r="E10" s="219" t="e">
        <f>#REF!</f>
        <v>#REF!</v>
      </c>
      <c r="G10" s="219" t="e">
        <f t="array" ref="G10">INDEX(Formulas!$R$24:$W$64,MATCH($B10,Formulas!$Q$24:$Q$64,0),MATCH(G$1,Formulas!$R$23:$W$23,0))</f>
        <v>#REF!</v>
      </c>
      <c r="H10" s="219">
        <f t="array" ref="H10">INDEX(Formulas!$G$24:$O$27,MATCH($C10,Formulas!$F$24:$F$27,0),MATCH(H$1,Formulas!$G$23:$O$23,0))*45</f>
        <v>0.31896</v>
      </c>
      <c r="I10" s="219">
        <f>VLOOKUP($C10,Formulas!$K$31:$L$34,2,FALSE)</f>
        <v>0.4</v>
      </c>
      <c r="J10" s="219">
        <f ca="1" t="shared" si="0"/>
        <v>0.7810943579</v>
      </c>
      <c r="K10" s="219" t="e">
        <f>VLOOKUP(K$1,Formulas!$F$47:$G$55,2,FALSE)*($E10+G10+H10)</f>
        <v>#REF!</v>
      </c>
      <c r="L10" s="219">
        <f ca="1" t="shared" si="1"/>
        <v>0.3905471789</v>
      </c>
      <c r="M10" s="219">
        <f ca="1" t="shared" si="2"/>
        <v>3.905471789</v>
      </c>
      <c r="N10" s="225">
        <f ca="1">VLOOKUP(N$1,Formulas!$I$31:$J$39,2,FALSE)*M10</f>
        <v>3593.034046</v>
      </c>
      <c r="O10" s="226">
        <v>3000</v>
      </c>
      <c r="P10" s="226" t="s">
        <v>283</v>
      </c>
      <c r="R10" s="219" t="e">
        <f t="array" ref="R10">INDEX(Formulas!$R$24:$W$64,MATCH($B10,Formulas!$Q$24:$Q$64,0),MATCH(R$1,Formulas!$R$23:$W$23,0))</f>
        <v>#REF!</v>
      </c>
      <c r="S10" s="219">
        <f t="array" ref="S10">INDEX(Formulas!$G$24:$O$27,MATCH($C10,Formulas!$F$24:$F$27,0),MATCH(S$1,Formulas!$G$23:$O$23,0))*45</f>
        <v>0.227835</v>
      </c>
      <c r="T10" s="219">
        <f>VLOOKUP($C10,Formulas!$K$31:$L$34,2,FALSE)</f>
        <v>0.4</v>
      </c>
      <c r="U10" s="219">
        <f ca="1" t="shared" si="3"/>
        <v>0.8098644082</v>
      </c>
      <c r="V10" s="230" t="e">
        <f>VLOOKUP(V$1,Formulas!$F$47:$G$55,2,FALSE)*($E10+R10+S10)</f>
        <v>#REF!</v>
      </c>
      <c r="W10" s="219">
        <f ca="1" t="shared" si="4"/>
        <v>0.4049322041</v>
      </c>
      <c r="X10" s="219">
        <f ca="1" t="shared" si="5"/>
        <v>4.049322041</v>
      </c>
      <c r="Y10" s="225">
        <f ca="1">VLOOKUP(Y$1,Formulas!$I$31:$J$39,2,FALSE)*X10</f>
        <v>599.2996621</v>
      </c>
      <c r="Z10" s="226">
        <v>675</v>
      </c>
      <c r="AA10" s="226" t="s">
        <v>295</v>
      </c>
      <c r="AC10" s="219" t="e">
        <f t="array" ref="AC10">INDEX(Formulas!$R$24:$W$64,MATCH($B10,Formulas!$Q$24:$Q$64,0),MATCH(AC$1,Formulas!$R$23:$W$23,0))</f>
        <v>#REF!</v>
      </c>
      <c r="AD10" s="219">
        <f t="array" ref="AD10">INDEX(Formulas!$G$24:$O$27,MATCH($C10,Formulas!$F$24:$F$27,0),MATCH(AD$1,Formulas!$G$23:$O$23,0))*45</f>
        <v>0.227835</v>
      </c>
      <c r="AE10" s="219">
        <f>VLOOKUP($C10,Formulas!$K$31:$L$34,2,FALSE)</f>
        <v>0.4</v>
      </c>
      <c r="AF10" s="219">
        <f ca="1" t="shared" si="6"/>
        <v>0.9416686803</v>
      </c>
      <c r="AG10" s="230" t="e">
        <f>VLOOKUP(AG$1,Formulas!$F$47:$G$55,2,FALSE)*($E10+AC10+AD10)</f>
        <v>#REF!</v>
      </c>
      <c r="AH10" s="219">
        <f ca="1" t="shared" si="7"/>
        <v>0.4708343401</v>
      </c>
      <c r="AI10" s="219">
        <f ca="1" t="shared" si="8"/>
        <v>4.708343401</v>
      </c>
      <c r="AJ10" s="225">
        <f ca="1">VLOOKUP(AJ$1,Formulas!$I$31:$J$39,2,FALSE)*AI10</f>
        <v>17891.70492</v>
      </c>
      <c r="AK10" s="227">
        <v>30000</v>
      </c>
      <c r="AL10" s="226" t="s">
        <v>283</v>
      </c>
      <c r="AN10" s="219" t="e">
        <f t="array" ref="AN10">INDEX(Formulas!$R$24:$W$64,MATCH($B10,Formulas!$Q$24:$Q$64,0),MATCH(AN$1,Formulas!$R$23:$W$23,0))</f>
        <v>#REF!</v>
      </c>
      <c r="AO10" s="219">
        <f t="array" ref="AO10">INDEX(Formulas!$G$24:$O$27,MATCH($C10,Formulas!$F$24:$F$27,0),MATCH(AO$1,Formulas!$G$23:$O$23,0))*45</f>
        <v>0.31896</v>
      </c>
      <c r="AP10" s="219">
        <f>VLOOKUP($C10,Formulas!$K$31:$L$34,2,FALSE)</f>
        <v>0.4</v>
      </c>
      <c r="AQ10" s="219">
        <f ca="1" t="shared" si="9"/>
        <v>0.7576417685</v>
      </c>
      <c r="AR10" s="230" t="e">
        <f>VLOOKUP(AR$1,Formulas!$F$47:$G$55,2,FALSE)*($E10+AN10+AO10)</f>
        <v>#REF!</v>
      </c>
      <c r="AS10" s="219">
        <f ca="1" t="shared" si="10"/>
        <v>0.3788208842</v>
      </c>
      <c r="AT10" s="219">
        <f ca="1" t="shared" si="11"/>
        <v>3.788208842</v>
      </c>
      <c r="AU10" s="225">
        <f ca="1">VLOOKUP(AU$1,Formulas!$I$31:$J$39,2,FALSE)*AT10</f>
        <v>2575.982013</v>
      </c>
      <c r="AV10" s="226">
        <v>2000</v>
      </c>
      <c r="AW10" s="226" t="s">
        <v>283</v>
      </c>
      <c r="AY10" s="219" t="e">
        <f t="array" ref="AY10">INDEX(Formulas!$R$24:$W$64,MATCH($B10,Formulas!$Q$24:$Q$64,0),MATCH(AY$1,Formulas!$R$23:$W$23,0))</f>
        <v>#REF!</v>
      </c>
      <c r="AZ10" s="219">
        <f t="array" ref="AZ10">INDEX(Formulas!$G$24:$O$27,MATCH($C10,Formulas!$F$24:$F$27,0),MATCH(AZ$1,Formulas!$G$23:$O$23,0))*45</f>
        <v>0.227835</v>
      </c>
      <c r="BA10" s="219">
        <f>VLOOKUP($C10,Formulas!$K$31:$L$34,2,FALSE)</f>
        <v>0.4</v>
      </c>
      <c r="BB10" s="219">
        <f ca="1" t="shared" si="12"/>
        <v>0.7339018745</v>
      </c>
      <c r="BC10" s="230" t="e">
        <f>VLOOKUP(BC$1,Formulas!$F$47:$G$55,2,FALSE)*($E10+AY10+AZ10)</f>
        <v>#REF!</v>
      </c>
      <c r="BD10" s="219">
        <f ca="1" t="shared" si="13"/>
        <v>0.3669509372</v>
      </c>
      <c r="BE10" s="219">
        <f ca="1" t="shared" si="14"/>
        <v>3.669509372</v>
      </c>
      <c r="BF10" s="225">
        <f ca="1">VLOOKUP(BF$1,Formulas!$I$31:$J$39,2,FALSE)*BE10</f>
        <v>2495.266373</v>
      </c>
      <c r="BG10" s="226">
        <v>2000</v>
      </c>
      <c r="BH10" s="226" t="s">
        <v>283</v>
      </c>
      <c r="BJ10" s="219" t="e">
        <f t="array" ref="BJ10">INDEX(Formulas!$R$24:$W$64,MATCH($B10,Formulas!$Q$24:$Q$64,0),MATCH(BJ$1,Formulas!$R$23:$W$23,0))</f>
        <v>#REF!</v>
      </c>
      <c r="BK10" s="219">
        <f t="array" ref="BK10">INDEX(Formulas!$G$24:$O$27,MATCH($C10,Formulas!$F$24:$F$27,0),MATCH(BK$1,Formulas!$G$23:$O$23,0))*45</f>
        <v>0.227835</v>
      </c>
      <c r="BL10" s="219">
        <f>VLOOKUP($C10,Formulas!$K$31:$L$34,2,FALSE)</f>
        <v>0.4</v>
      </c>
      <c r="BM10" s="219">
        <f ca="1" t="shared" si="15"/>
        <v>0.731395289</v>
      </c>
      <c r="BN10" s="230" t="e">
        <f>VLOOKUP(BN$1,Formulas!$F$47:$G$55,2,FALSE)*($E10+BJ10+BK10)</f>
        <v>#REF!</v>
      </c>
      <c r="BO10" s="219">
        <f ca="1" t="shared" si="16"/>
        <v>0.3656976445</v>
      </c>
      <c r="BP10" s="219">
        <f ca="1" t="shared" si="17"/>
        <v>3.656976445</v>
      </c>
      <c r="BQ10" s="225">
        <f ca="1">VLOOKUP(BQ$1,Formulas!$I$31:$J$39,2,FALSE)*BP10</f>
        <v>45.71220556</v>
      </c>
      <c r="BR10" s="226">
        <v>60</v>
      </c>
      <c r="BS10" s="226" t="s">
        <v>283</v>
      </c>
      <c r="BT10" s="225"/>
    </row>
    <row r="11" ht="12.5" spans="2:72">
      <c r="B11" s="52" t="e">
        <f>#REF!</f>
        <v>#REF!</v>
      </c>
      <c r="C11" s="52" t="s">
        <v>3</v>
      </c>
      <c r="D11" s="218">
        <v>0.2</v>
      </c>
      <c r="E11" s="219" t="e">
        <f>#REF!</f>
        <v>#REF!</v>
      </c>
      <c r="G11" s="219" t="e">
        <f t="array" ref="G11">INDEX(Formulas!$R$24:$W$64,MATCH($B11,Formulas!$Q$24:$Q$64,0),MATCH(G$1,Formulas!$R$23:$W$23,0))</f>
        <v>#REF!</v>
      </c>
      <c r="H11" s="219">
        <f t="array" ref="H11">INDEX(Formulas!$G$24:$O$27,MATCH($C11,Formulas!$F$24:$F$27,0),MATCH(H$1,Formulas!$G$23:$O$23,0))*45</f>
        <v>0.31896</v>
      </c>
      <c r="I11" s="219">
        <f>VLOOKUP($C11,Formulas!$K$31:$L$34,2,FALSE)</f>
        <v>0.4</v>
      </c>
      <c r="J11" s="219">
        <f ca="1" t="shared" si="0"/>
        <v>3.384847901</v>
      </c>
      <c r="K11" s="219" t="e">
        <f>VLOOKUP(K$1,Formulas!$F$47:$G$55,2,FALSE)*($E11+G11+H11)</f>
        <v>#REF!</v>
      </c>
      <c r="L11" s="219">
        <f ca="1" t="shared" si="1"/>
        <v>1.69242395</v>
      </c>
      <c r="M11" s="219">
        <f ca="1" t="shared" si="2"/>
        <v>16.9242395</v>
      </c>
      <c r="N11" s="225">
        <f ca="1">VLOOKUP(N$1,Formulas!$I$31:$J$39,2,FALSE)*M11</f>
        <v>15570.30034</v>
      </c>
      <c r="O11" s="227">
        <v>2300</v>
      </c>
      <c r="P11" s="226" t="s">
        <v>283</v>
      </c>
      <c r="R11" s="219" t="e">
        <f t="array" ref="R11">INDEX(Formulas!$R$24:$W$64,MATCH($B11,Formulas!$Q$24:$Q$64,0),MATCH(R$1,Formulas!$R$23:$W$23,0))</f>
        <v>#REF!</v>
      </c>
      <c r="S11" s="219">
        <f t="array" ref="S11">INDEX(Formulas!$G$24:$O$27,MATCH($C11,Formulas!$F$24:$F$27,0),MATCH(S$1,Formulas!$G$23:$O$23,0))*45</f>
        <v>0.227835</v>
      </c>
      <c r="T11" s="219">
        <f>VLOOKUP($C11,Formulas!$K$31:$L$34,2,FALSE)</f>
        <v>0.4</v>
      </c>
      <c r="U11" s="219">
        <f ca="1" t="shared" si="3"/>
        <v>3.556851541</v>
      </c>
      <c r="V11" s="230" t="e">
        <f>VLOOKUP(V$1,Formulas!$F$47:$G$55,2,FALSE)*($E11+R11+S11)</f>
        <v>#REF!</v>
      </c>
      <c r="W11" s="219">
        <f ca="1" t="shared" si="4"/>
        <v>1.778425771</v>
      </c>
      <c r="X11" s="219">
        <f ca="1" t="shared" si="5"/>
        <v>17.78425771</v>
      </c>
      <c r="Y11" s="225">
        <f ca="1">VLOOKUP(Y$1,Formulas!$I$31:$J$39,2,FALSE)*X11</f>
        <v>2632.070141</v>
      </c>
      <c r="Z11" s="226">
        <v>1000</v>
      </c>
      <c r="AA11" s="226" t="s">
        <v>291</v>
      </c>
      <c r="AC11" s="219" t="e">
        <f t="array" ref="AC11">INDEX(Formulas!$R$24:$W$64,MATCH($B11,Formulas!$Q$24:$Q$64,0),MATCH(AC$1,Formulas!$R$23:$W$23,0))</f>
        <v>#REF!</v>
      </c>
      <c r="AD11" s="219">
        <f t="array" ref="AD11">INDEX(Formulas!$G$24:$O$27,MATCH($C11,Formulas!$F$24:$F$27,0),MATCH(AD$1,Formulas!$G$23:$O$23,0))*45</f>
        <v>0.227835</v>
      </c>
      <c r="AE11" s="219">
        <f>VLOOKUP($C11,Formulas!$K$31:$L$34,2,FALSE)</f>
        <v>0.4</v>
      </c>
      <c r="AF11" s="219">
        <f ca="1" t="shared" si="6"/>
        <v>3.710731616</v>
      </c>
      <c r="AG11" s="230" t="e">
        <f>VLOOKUP(AG$1,Formulas!$F$47:$G$55,2,FALSE)*($E11+AC11+AD11)</f>
        <v>#REF!</v>
      </c>
      <c r="AH11" s="219">
        <f ca="1" t="shared" si="7"/>
        <v>1.855365808</v>
      </c>
      <c r="AI11" s="219">
        <f ca="1" t="shared" si="8"/>
        <v>18.55365808</v>
      </c>
      <c r="AJ11" s="225">
        <f ca="1">VLOOKUP(AJ$1,Formulas!$I$31:$J$39,2,FALSE)*AI11</f>
        <v>70503.9007</v>
      </c>
      <c r="AK11" s="227">
        <v>35000</v>
      </c>
      <c r="AL11" s="226" t="s">
        <v>283</v>
      </c>
      <c r="AN11" s="219" t="e">
        <f t="array" ref="AN11">INDEX(Formulas!$R$24:$W$64,MATCH($B11,Formulas!$Q$24:$Q$64,0),MATCH(AN$1,Formulas!$R$23:$W$23,0))</f>
        <v>#REF!</v>
      </c>
      <c r="AO11" s="219">
        <f t="array" ref="AO11">INDEX(Formulas!$G$24:$O$27,MATCH($C11,Formulas!$F$24:$F$27,0),MATCH(AO$1,Formulas!$G$23:$O$23,0))*45</f>
        <v>0.31896</v>
      </c>
      <c r="AP11" s="219">
        <f>VLOOKUP($C11,Formulas!$K$31:$L$34,2,FALSE)</f>
        <v>0.4</v>
      </c>
      <c r="AQ11" s="219">
        <f ca="1" t="shared" si="9"/>
        <v>3.267151088</v>
      </c>
      <c r="AR11" s="230" t="e">
        <f>VLOOKUP(AR$1,Formulas!$F$47:$G$55,2,FALSE)*($E11+AN11+AO11)</f>
        <v>#REF!</v>
      </c>
      <c r="AS11" s="219">
        <f ca="1" t="shared" si="10"/>
        <v>1.633575544</v>
      </c>
      <c r="AT11" s="219">
        <f ca="1" t="shared" si="11"/>
        <v>16.33575544</v>
      </c>
      <c r="AU11" s="225">
        <f ca="1">VLOOKUP(AU$1,Formulas!$I$31:$J$39,2,FALSE)*AT11</f>
        <v>11108.3137</v>
      </c>
      <c r="AV11" s="226">
        <v>3000</v>
      </c>
      <c r="AW11" s="226" t="s">
        <v>283</v>
      </c>
      <c r="AY11" s="219" t="e">
        <f t="array" ref="AY11">INDEX(Formulas!$R$24:$W$64,MATCH($B11,Formulas!$Q$24:$Q$64,0),MATCH(AY$1,Formulas!$R$23:$W$23,0))</f>
        <v>#REF!</v>
      </c>
      <c r="AZ11" s="219">
        <f t="array" ref="AZ11">INDEX(Formulas!$G$24:$O$27,MATCH($C11,Formulas!$F$24:$F$27,0),MATCH(AZ$1,Formulas!$G$23:$O$23,0))*45</f>
        <v>0.227835</v>
      </c>
      <c r="BA11" s="219">
        <f>VLOOKUP($C11,Formulas!$K$31:$L$34,2,FALSE)</f>
        <v>0.4</v>
      </c>
      <c r="BB11" s="219">
        <f ca="1" t="shared" si="12"/>
        <v>3.261291616</v>
      </c>
      <c r="BC11" s="230" t="e">
        <f>VLOOKUP(BC$1,Formulas!$F$47:$G$55,2,FALSE)*($E11+AY11+AZ11)</f>
        <v>#REF!</v>
      </c>
      <c r="BD11" s="219">
        <f ca="1" t="shared" si="13"/>
        <v>1.630645808</v>
      </c>
      <c r="BE11" s="219">
        <f ca="1" t="shared" si="14"/>
        <v>16.30645808</v>
      </c>
      <c r="BF11" s="225">
        <f ca="1">VLOOKUP(BF$1,Formulas!$I$31:$J$39,2,FALSE)*BE11</f>
        <v>11088.39149</v>
      </c>
      <c r="BG11" s="226">
        <v>3000</v>
      </c>
      <c r="BH11" s="226" t="s">
        <v>283</v>
      </c>
      <c r="BJ11" s="219" t="e">
        <f t="array" ref="BJ11">INDEX(Formulas!$R$24:$W$64,MATCH($B11,Formulas!$Q$24:$Q$64,0),MATCH(BJ$1,Formulas!$R$23:$W$23,0))</f>
        <v>#REF!</v>
      </c>
      <c r="BK11" s="219">
        <f t="array" ref="BK11">INDEX(Formulas!$G$24:$O$27,MATCH($C11,Formulas!$F$24:$F$27,0),MATCH(BK$1,Formulas!$G$23:$O$23,0))*45</f>
        <v>0.227835</v>
      </c>
      <c r="BL11" s="219">
        <f>VLOOKUP($C11,Formulas!$K$31:$L$34,2,FALSE)</f>
        <v>0.4</v>
      </c>
      <c r="BM11" s="219">
        <f ca="1" t="shared" si="15"/>
        <v>3.383698794</v>
      </c>
      <c r="BN11" s="230" t="e">
        <f>VLOOKUP(BN$1,Formulas!$F$47:$G$55,2,FALSE)*($E11+BJ11+BK11)</f>
        <v>#REF!</v>
      </c>
      <c r="BO11" s="219">
        <f ca="1" t="shared" si="16"/>
        <v>1.691849397</v>
      </c>
      <c r="BP11" s="219">
        <f ca="1" t="shared" si="17"/>
        <v>16.91849397</v>
      </c>
      <c r="BQ11" s="225">
        <f ca="1">VLOOKUP(BQ$1,Formulas!$I$31:$J$39,2,FALSE)*BP11</f>
        <v>211.4811747</v>
      </c>
      <c r="BR11" s="226">
        <v>40</v>
      </c>
      <c r="BS11" s="226" t="s">
        <v>291</v>
      </c>
      <c r="BT11" s="225"/>
    </row>
    <row r="12" ht="12.5" spans="2:72">
      <c r="B12" s="52" t="e">
        <f>#REF!</f>
        <v>#REF!</v>
      </c>
      <c r="C12" s="52" t="s">
        <v>3</v>
      </c>
      <c r="D12" s="218">
        <v>0.2</v>
      </c>
      <c r="E12" s="219" t="e">
        <f>#REF!</f>
        <v>#REF!</v>
      </c>
      <c r="G12" s="219" t="e">
        <f t="array" ref="G12">INDEX(Formulas!$R$24:$W$64,MATCH($B12,Formulas!$Q$24:$Q$64,0),MATCH(G$1,Formulas!$R$23:$W$23,0))</f>
        <v>#REF!</v>
      </c>
      <c r="H12" s="219">
        <f t="array" ref="H12">INDEX(Formulas!$G$24:$O$27,MATCH($C12,Formulas!$F$24:$F$27,0),MATCH(H$1,Formulas!$G$23:$O$23,0))*45</f>
        <v>0.31896</v>
      </c>
      <c r="I12" s="219">
        <f>VLOOKUP($C12,Formulas!$K$31:$L$34,2,FALSE)</f>
        <v>0.4</v>
      </c>
      <c r="J12" s="219">
        <f ca="1" t="shared" si="0"/>
        <v>1.859535714</v>
      </c>
      <c r="K12" s="219" t="e">
        <f>VLOOKUP(K$1,Formulas!$F$47:$G$55,2,FALSE)*($E12+G12+H12)</f>
        <v>#REF!</v>
      </c>
      <c r="L12" s="219">
        <f ca="1" t="shared" si="1"/>
        <v>0.9297678571</v>
      </c>
      <c r="M12" s="219">
        <f ca="1" t="shared" si="2"/>
        <v>9.297678571</v>
      </c>
      <c r="N12" s="225">
        <f ca="1">VLOOKUP(N$1,Formulas!$I$31:$J$39,2,FALSE)*M12</f>
        <v>8553.864286</v>
      </c>
      <c r="O12" s="226">
        <v>1800</v>
      </c>
      <c r="P12" s="226" t="s">
        <v>283</v>
      </c>
      <c r="R12" s="219" t="e">
        <f t="array" ref="R12">INDEX(Formulas!$R$24:$W$64,MATCH($B12,Formulas!$Q$24:$Q$64,0),MATCH(R$1,Formulas!$R$23:$W$23,0))</f>
        <v>#REF!</v>
      </c>
      <c r="S12" s="219">
        <f t="array" ref="S12">INDEX(Formulas!$G$24:$O$27,MATCH($C12,Formulas!$F$24:$F$27,0),MATCH(S$1,Formulas!$G$23:$O$23,0))*45</f>
        <v>0.227835</v>
      </c>
      <c r="T12" s="219">
        <f>VLOOKUP($C12,Formulas!$K$31:$L$34,2,FALSE)</f>
        <v>0.4</v>
      </c>
      <c r="U12" s="219">
        <f ca="1" t="shared" si="3"/>
        <v>1.933816744</v>
      </c>
      <c r="V12" s="230" t="e">
        <f>VLOOKUP(V$1,Formulas!$F$47:$G$55,2,FALSE)*($E12+R12+S12)</f>
        <v>#REF!</v>
      </c>
      <c r="W12" s="219">
        <f ca="1" t="shared" si="4"/>
        <v>0.9669083719</v>
      </c>
      <c r="X12" s="219">
        <f ca="1" t="shared" si="5"/>
        <v>9.669083719</v>
      </c>
      <c r="Y12" s="225">
        <f ca="1">VLOOKUP(Y$1,Formulas!$I$31:$J$39,2,FALSE)*X12</f>
        <v>1431.02439</v>
      </c>
      <c r="Z12" s="226" t="s">
        <v>296</v>
      </c>
      <c r="AA12" s="226" t="s">
        <v>297</v>
      </c>
      <c r="AC12" s="219" t="e">
        <f t="array" ref="AC12">INDEX(Formulas!$R$24:$W$64,MATCH($B12,Formulas!$Q$24:$Q$64,0),MATCH(AC$1,Formulas!$R$23:$W$23,0))</f>
        <v>#REF!</v>
      </c>
      <c r="AD12" s="219">
        <f t="array" ref="AD12">INDEX(Formulas!$G$24:$O$27,MATCH($C12,Formulas!$F$24:$F$27,0),MATCH(AD$1,Formulas!$G$23:$O$23,0))*45</f>
        <v>0.227835</v>
      </c>
      <c r="AE12" s="219">
        <f>VLOOKUP($C12,Formulas!$K$31:$L$34,2,FALSE)</f>
        <v>0.4</v>
      </c>
      <c r="AF12" s="219">
        <f ca="1" t="shared" si="6"/>
        <v>1.9956994</v>
      </c>
      <c r="AG12" s="230" t="e">
        <f>VLOOKUP(AG$1,Formulas!$F$47:$G$55,2,FALSE)*($E12+AC12+AD12)</f>
        <v>#REF!</v>
      </c>
      <c r="AH12" s="219">
        <f ca="1" t="shared" si="7"/>
        <v>0.9978497</v>
      </c>
      <c r="AI12" s="219">
        <f ca="1" t="shared" si="8"/>
        <v>9.978497</v>
      </c>
      <c r="AJ12" s="225">
        <f ca="1">VLOOKUP(AJ$1,Formulas!$I$31:$J$39,2,FALSE)*AI12</f>
        <v>37918.2886</v>
      </c>
      <c r="AK12" s="227">
        <v>30000</v>
      </c>
      <c r="AL12" s="226" t="s">
        <v>283</v>
      </c>
      <c r="AN12" s="219" t="e">
        <f t="array" ref="AN12">INDEX(Formulas!$R$24:$W$64,MATCH($B12,Formulas!$Q$24:$Q$64,0),MATCH(AN$1,Formulas!$R$23:$W$23,0))</f>
        <v>#REF!</v>
      </c>
      <c r="AO12" s="219">
        <f t="array" ref="AO12">INDEX(Formulas!$G$24:$O$27,MATCH($C12,Formulas!$F$24:$F$27,0),MATCH(AO$1,Formulas!$G$23:$O$23,0))*45</f>
        <v>0.31896</v>
      </c>
      <c r="AP12" s="219">
        <f>VLOOKUP($C12,Formulas!$K$31:$L$34,2,FALSE)</f>
        <v>0.4</v>
      </c>
      <c r="AQ12" s="219">
        <f ca="1" t="shared" si="9"/>
        <v>1.796613456</v>
      </c>
      <c r="AR12" s="230" t="e">
        <f>VLOOKUP(AR$1,Formulas!$F$47:$G$55,2,FALSE)*($E12+AN12+AO12)</f>
        <v>#REF!</v>
      </c>
      <c r="AS12" s="219">
        <f ca="1" t="shared" si="10"/>
        <v>0.898306728</v>
      </c>
      <c r="AT12" s="219">
        <f ca="1" t="shared" si="11"/>
        <v>8.98306728</v>
      </c>
      <c r="AU12" s="225">
        <f ca="1">VLOOKUP(AU$1,Formulas!$I$31:$J$39,2,FALSE)*AT12</f>
        <v>6108.48575</v>
      </c>
      <c r="AV12" s="226">
        <v>5000</v>
      </c>
      <c r="AW12" s="226" t="s">
        <v>283</v>
      </c>
      <c r="AY12" s="219" t="e">
        <f t="array" ref="AY12">INDEX(Formulas!$R$24:$W$64,MATCH($B12,Formulas!$Q$24:$Q$64,0),MATCH(AY$1,Formulas!$R$23:$W$23,0))</f>
        <v>#REF!</v>
      </c>
      <c r="AZ12" s="219">
        <f t="array" ref="AZ12">INDEX(Formulas!$G$24:$O$27,MATCH($C12,Formulas!$F$24:$F$27,0),MATCH(AZ$1,Formulas!$G$23:$O$23,0))*45</f>
        <v>0.227835</v>
      </c>
      <c r="BA12" s="219">
        <f>VLOOKUP($C12,Formulas!$K$31:$L$34,2,FALSE)</f>
        <v>0.4</v>
      </c>
      <c r="BB12" s="219">
        <f ca="1" t="shared" si="12"/>
        <v>1.780738669</v>
      </c>
      <c r="BC12" s="230" t="e">
        <f>VLOOKUP(BC$1,Formulas!$F$47:$G$55,2,FALSE)*($E12+AY12+AZ12)</f>
        <v>#REF!</v>
      </c>
      <c r="BD12" s="219">
        <f ca="1" t="shared" si="13"/>
        <v>0.8903693343</v>
      </c>
      <c r="BE12" s="219">
        <f ca="1" t="shared" si="14"/>
        <v>8.903693343</v>
      </c>
      <c r="BF12" s="225">
        <f ca="1">VLOOKUP(BF$1,Formulas!$I$31:$J$39,2,FALSE)*BE12</f>
        <v>6054.511473</v>
      </c>
      <c r="BG12" s="226">
        <v>5000</v>
      </c>
      <c r="BH12" s="226" t="s">
        <v>283</v>
      </c>
      <c r="BJ12" s="219" t="e">
        <f t="array" ref="BJ12">INDEX(Formulas!$R$24:$W$64,MATCH($B12,Formulas!$Q$24:$Q$64,0),MATCH(BJ$1,Formulas!$R$23:$W$23,0))</f>
        <v>#REF!</v>
      </c>
      <c r="BK12" s="219">
        <f t="array" ref="BK12">INDEX(Formulas!$G$24:$O$27,MATCH($C12,Formulas!$F$24:$F$27,0),MATCH(BK$1,Formulas!$G$23:$O$23,0))*45</f>
        <v>0.227835</v>
      </c>
      <c r="BL12" s="219">
        <f>VLOOKUP($C12,Formulas!$K$31:$L$34,2,FALSE)</f>
        <v>0.4</v>
      </c>
      <c r="BM12" s="219">
        <f ca="1" t="shared" si="15"/>
        <v>1.850695947</v>
      </c>
      <c r="BN12" s="230" t="e">
        <f>VLOOKUP(BN$1,Formulas!$F$47:$G$55,2,FALSE)*($E12+BJ12+BK12)</f>
        <v>#REF!</v>
      </c>
      <c r="BO12" s="219">
        <f ca="1" t="shared" si="16"/>
        <v>0.9253479736</v>
      </c>
      <c r="BP12" s="219">
        <f ca="1" t="shared" si="17"/>
        <v>9.253479736</v>
      </c>
      <c r="BQ12" s="225">
        <f ca="1">VLOOKUP(BQ$1,Formulas!$I$31:$J$39,2,FALSE)*BP12</f>
        <v>115.6684967</v>
      </c>
      <c r="BR12" s="226">
        <v>100</v>
      </c>
      <c r="BS12" s="226" t="s">
        <v>291</v>
      </c>
      <c r="BT12" s="225"/>
    </row>
    <row r="13" ht="12.5" spans="2:72">
      <c r="B13" s="52" t="e">
        <f>#REF!</f>
        <v>#REF!</v>
      </c>
      <c r="C13" s="52" t="s">
        <v>298</v>
      </c>
      <c r="D13" s="218">
        <v>0.2</v>
      </c>
      <c r="E13" s="219" t="e">
        <f>#REF!</f>
        <v>#REF!</v>
      </c>
      <c r="G13" s="219" t="e">
        <f t="array" ref="G13">INDEX(Formulas!$R$24:$W$64,MATCH($B13,Formulas!$Q$24:$Q$64,0),MATCH(G$1,Formulas!$R$23:$W$23,0))</f>
        <v>#REF!</v>
      </c>
      <c r="H13" s="219">
        <f t="array" ref="H13">INDEX(Formulas!$G$24:$O$27,MATCH($C13,Formulas!$F$24:$F$27,0),MATCH(H$1,Formulas!$G$23:$O$23,0))*45</f>
        <v>0.091125</v>
      </c>
      <c r="I13" s="219">
        <f>VLOOKUP($C13,Formulas!$K$31:$L$34,2,FALSE)</f>
        <v>0.4</v>
      </c>
      <c r="J13" s="219">
        <f ca="1" t="shared" si="0"/>
        <v>0.6098223143</v>
      </c>
      <c r="K13" s="219" t="e">
        <f>VLOOKUP(K$1,Formulas!$F$47:$G$55,2,FALSE)*($E13+G13+H13)</f>
        <v>#REF!</v>
      </c>
      <c r="L13" s="219">
        <f ca="1" t="shared" si="1"/>
        <v>0.3049111571</v>
      </c>
      <c r="M13" s="219">
        <f ca="1" t="shared" si="2"/>
        <v>3.049111571</v>
      </c>
      <c r="N13" s="225">
        <f ca="1">VLOOKUP(N$1,Formulas!$I$31:$J$39,2,FALSE)*M13</f>
        <v>2805.182646</v>
      </c>
      <c r="O13" s="226">
        <v>800</v>
      </c>
      <c r="P13" s="226" t="s">
        <v>283</v>
      </c>
      <c r="R13" s="219" t="e">
        <f t="array" ref="R13">INDEX(Formulas!$R$24:$W$64,MATCH($B13,Formulas!$Q$24:$Q$64,0),MATCH(R$1,Formulas!$R$23:$W$23,0))</f>
        <v>#REF!</v>
      </c>
      <c r="S13" s="219">
        <f t="array" ref="S13">INDEX(Formulas!$G$24:$O$27,MATCH($C13,Formulas!$F$24:$F$27,0),MATCH(S$1,Formulas!$G$23:$O$23,0))*45</f>
        <v>0.091125</v>
      </c>
      <c r="T13" s="219">
        <f>VLOOKUP($C13,Formulas!$K$31:$L$34,2,FALSE)</f>
        <v>0.4</v>
      </c>
      <c r="U13" s="219">
        <f ca="1" t="shared" si="3"/>
        <v>0.73106111</v>
      </c>
      <c r="V13" s="230" t="e">
        <f>VLOOKUP(V$1,Formulas!$F$47:$G$55,2,FALSE)*($E13+R13+S13)</f>
        <v>#REF!</v>
      </c>
      <c r="W13" s="219">
        <f ca="1" t="shared" si="4"/>
        <v>0.365530555</v>
      </c>
      <c r="X13" s="219">
        <f ca="1" t="shared" si="5"/>
        <v>3.65530555</v>
      </c>
      <c r="Y13" s="225">
        <f ca="1">VLOOKUP(Y$1,Formulas!$I$31:$J$39,2,FALSE)*X13</f>
        <v>540.9852214</v>
      </c>
      <c r="Z13" s="226">
        <v>600</v>
      </c>
      <c r="AA13" s="226" t="s">
        <v>283</v>
      </c>
      <c r="AC13" s="219" t="e">
        <f t="array" ref="AC13">INDEX(Formulas!$R$24:$W$64,MATCH($B13,Formulas!$Q$24:$Q$64,0),MATCH(AC$1,Formulas!$R$23:$W$23,0))</f>
        <v>#REF!</v>
      </c>
      <c r="AD13" s="219">
        <f t="array" ref="AD13">INDEX(Formulas!$G$24:$O$27,MATCH($C13,Formulas!$F$24:$F$27,0),MATCH(AD$1,Formulas!$G$23:$O$23,0))*45</f>
        <v>0.091125</v>
      </c>
      <c r="AE13" s="219">
        <f>VLOOKUP($C13,Formulas!$K$31:$L$34,2,FALSE)</f>
        <v>0.4</v>
      </c>
      <c r="AF13" s="219">
        <f ca="1" t="shared" si="6"/>
        <v>1.273135762</v>
      </c>
      <c r="AG13" s="230" t="e">
        <f>VLOOKUP(AG$1,Formulas!$F$47:$G$55,2,FALSE)*($E13+AC13+AD13)</f>
        <v>#REF!</v>
      </c>
      <c r="AH13" s="219">
        <f ca="1" t="shared" si="7"/>
        <v>0.636567881</v>
      </c>
      <c r="AI13" s="219">
        <f ca="1" t="shared" si="8"/>
        <v>6.36567881</v>
      </c>
      <c r="AJ13" s="225">
        <f ca="1">VLOOKUP(AJ$1,Formulas!$I$31:$J$39,2,FALSE)*AI13</f>
        <v>24189.57948</v>
      </c>
      <c r="AK13" s="226"/>
      <c r="AL13" s="226" t="s">
        <v>294</v>
      </c>
      <c r="AN13" s="219" t="e">
        <f t="array" ref="AN13">INDEX(Formulas!$R$24:$W$64,MATCH($B13,Formulas!$Q$24:$Q$64,0),MATCH(AN$1,Formulas!$R$23:$W$23,0))</f>
        <v>#REF!</v>
      </c>
      <c r="AO13" s="219">
        <f t="array" ref="AO13">INDEX(Formulas!$G$24:$O$27,MATCH($C13,Formulas!$F$24:$F$27,0),MATCH(AO$1,Formulas!$G$23:$O$23,0))*45</f>
        <v>0.091125</v>
      </c>
      <c r="AP13" s="219">
        <f>VLOOKUP($C13,Formulas!$K$31:$L$34,2,FALSE)</f>
        <v>0.4</v>
      </c>
      <c r="AQ13" s="219">
        <f ca="1" t="shared" si="9"/>
        <v>0.5948448248</v>
      </c>
      <c r="AR13" s="230" t="e">
        <f>VLOOKUP(AR$1,Formulas!$F$47:$G$55,2,FALSE)*($E13+AN13+AO13)</f>
        <v>#REF!</v>
      </c>
      <c r="AS13" s="219">
        <f ca="1" t="shared" si="10"/>
        <v>0.2974224124</v>
      </c>
      <c r="AT13" s="219">
        <f ca="1" t="shared" si="11"/>
        <v>2.974224124</v>
      </c>
      <c r="AU13" s="225">
        <f ca="1">VLOOKUP(AU$1,Formulas!$I$31:$J$39,2,FALSE)*AT13</f>
        <v>2022.472404</v>
      </c>
      <c r="AV13" s="226">
        <v>1500</v>
      </c>
      <c r="AW13" s="226" t="s">
        <v>283</v>
      </c>
      <c r="AY13" s="219" t="e">
        <f t="array" ref="AY13">INDEX(Formulas!$R$24:$W$64,MATCH($B13,Formulas!$Q$24:$Q$64,0),MATCH(AY$1,Formulas!$R$23:$W$23,0))</f>
        <v>#REF!</v>
      </c>
      <c r="AZ13" s="219">
        <f t="array" ref="AZ13">INDEX(Formulas!$G$24:$O$27,MATCH($C13,Formulas!$F$24:$F$27,0),MATCH(AZ$1,Formulas!$G$23:$O$23,0))*45</f>
        <v>0.091125</v>
      </c>
      <c r="BA13" s="219">
        <f>VLOOKUP($C13,Formulas!$K$31:$L$34,2,FALSE)</f>
        <v>0.4</v>
      </c>
      <c r="BB13" s="219">
        <f ca="1" t="shared" si="12"/>
        <v>0.595123419</v>
      </c>
      <c r="BC13" s="230" t="e">
        <f>VLOOKUP(BC$1,Formulas!$F$47:$G$55,2,FALSE)*($E13+AY13+AZ13)</f>
        <v>#REF!</v>
      </c>
      <c r="BD13" s="219">
        <f ca="1" t="shared" si="13"/>
        <v>0.2975617095</v>
      </c>
      <c r="BE13" s="219">
        <f ca="1" t="shared" si="14"/>
        <v>2.975617095</v>
      </c>
      <c r="BF13" s="225">
        <f ca="1">VLOOKUP(BF$1,Formulas!$I$31:$J$39,2,FALSE)*BE13</f>
        <v>2023.419625</v>
      </c>
      <c r="BG13" s="226">
        <v>1500</v>
      </c>
      <c r="BH13" s="226" t="s">
        <v>283</v>
      </c>
      <c r="BJ13" s="219" t="e">
        <f t="array" ref="BJ13">INDEX(Formulas!$R$24:$W$64,MATCH($B13,Formulas!$Q$24:$Q$64,0),MATCH(BJ$1,Formulas!$R$23:$W$23,0))</f>
        <v>#REF!</v>
      </c>
      <c r="BK13" s="219">
        <f t="array" ref="BK13">INDEX(Formulas!$G$24:$O$27,MATCH($C13,Formulas!$F$24:$F$27,0),MATCH(BK$1,Formulas!$G$23:$O$23,0))*45</f>
        <v>0.091125</v>
      </c>
      <c r="BL13" s="219">
        <f>VLOOKUP($C13,Formulas!$K$31:$L$34,2,FALSE)</f>
        <v>0.4</v>
      </c>
      <c r="BM13" s="219">
        <f ca="1" t="shared" si="15"/>
        <v>0.4778980976</v>
      </c>
      <c r="BN13" s="230" t="e">
        <f>VLOOKUP(BN$1,Formulas!$F$47:$G$55,2,FALSE)*($E13+BJ13+BK13)</f>
        <v>#REF!</v>
      </c>
      <c r="BO13" s="219">
        <f ca="1" t="shared" si="16"/>
        <v>0.2389490488</v>
      </c>
      <c r="BP13" s="219">
        <f ca="1" t="shared" si="17"/>
        <v>2.389490488</v>
      </c>
      <c r="BQ13" s="225">
        <f ca="1">VLOOKUP(BQ$1,Formulas!$I$31:$J$39,2,FALSE)*BP13</f>
        <v>29.8686311</v>
      </c>
      <c r="BR13" s="226">
        <v>55</v>
      </c>
      <c r="BS13" s="226" t="s">
        <v>283</v>
      </c>
      <c r="BT13" s="225"/>
    </row>
    <row r="14" ht="12.5" spans="2:72">
      <c r="B14" s="52" t="e">
        <f>#REF!</f>
        <v>#REF!</v>
      </c>
      <c r="C14" s="52" t="s">
        <v>298</v>
      </c>
      <c r="D14" s="218">
        <v>0.2</v>
      </c>
      <c r="E14" s="219" t="e">
        <f>#REF!</f>
        <v>#REF!</v>
      </c>
      <c r="G14" s="219" t="e">
        <f t="array" ref="G14">INDEX(Formulas!$R$24:$W$64,MATCH($B14,Formulas!$Q$24:$Q$64,0),MATCH(G$1,Formulas!$R$23:$W$23,0))</f>
        <v>#REF!</v>
      </c>
      <c r="H14" s="219">
        <f t="array" ref="H14">INDEX(Formulas!$G$24:$O$27,MATCH($C14,Formulas!$F$24:$F$27,0),MATCH(H$1,Formulas!$G$23:$O$23,0))*45</f>
        <v>0.091125</v>
      </c>
      <c r="I14" s="219">
        <f>VLOOKUP($C14,Formulas!$K$31:$L$34,2,FALSE)</f>
        <v>0.4</v>
      </c>
      <c r="J14" s="219">
        <f ca="1" t="shared" si="0"/>
        <v>0.4326687143</v>
      </c>
      <c r="K14" s="219" t="e">
        <f>VLOOKUP(K$1,Formulas!$F$47:$G$55,2,FALSE)*($E14+G14+H14)</f>
        <v>#REF!</v>
      </c>
      <c r="L14" s="219">
        <f ca="1" t="shared" si="1"/>
        <v>0.2163343571</v>
      </c>
      <c r="M14" s="219">
        <f ca="1" t="shared" si="2"/>
        <v>2.163343571</v>
      </c>
      <c r="N14" s="225">
        <f ca="1">VLOOKUP(N$1,Formulas!$I$31:$J$39,2,FALSE)*M14</f>
        <v>1990.276086</v>
      </c>
      <c r="O14" s="226">
        <v>800</v>
      </c>
      <c r="P14" s="226" t="s">
        <v>283</v>
      </c>
      <c r="R14" s="219" t="e">
        <f t="array" ref="R14">INDEX(Formulas!$R$24:$W$64,MATCH($B14,Formulas!$Q$24:$Q$64,0),MATCH(R$1,Formulas!$R$23:$W$23,0))</f>
        <v>#REF!</v>
      </c>
      <c r="S14" s="219">
        <f t="array" ref="S14">INDEX(Formulas!$G$24:$O$27,MATCH($C14,Formulas!$F$24:$F$27,0),MATCH(S$1,Formulas!$G$23:$O$23,0))*45</f>
        <v>0.091125</v>
      </c>
      <c r="T14" s="219">
        <f>VLOOKUP($C14,Formulas!$K$31:$L$34,2,FALSE)</f>
        <v>0.4</v>
      </c>
      <c r="U14" s="219">
        <f ca="1" t="shared" si="3"/>
        <v>0.4916154071</v>
      </c>
      <c r="V14" s="230" t="e">
        <f>VLOOKUP(V$1,Formulas!$F$47:$G$55,2,FALSE)*($E14+R14+S14)</f>
        <v>#REF!</v>
      </c>
      <c r="W14" s="219">
        <f ca="1" t="shared" si="4"/>
        <v>0.2458077036</v>
      </c>
      <c r="X14" s="219">
        <f ca="1" t="shared" si="5"/>
        <v>2.458077036</v>
      </c>
      <c r="Y14" s="225">
        <f ca="1">VLOOKUP(Y$1,Formulas!$I$31:$J$39,2,FALSE)*X14</f>
        <v>363.7954013</v>
      </c>
      <c r="Z14" s="226">
        <v>479</v>
      </c>
      <c r="AA14" s="226" t="s">
        <v>291</v>
      </c>
      <c r="AC14" s="219" t="e">
        <f t="array" ref="AC14">INDEX(Formulas!$R$24:$W$64,MATCH($B14,Formulas!$Q$24:$Q$64,0),MATCH(AC$1,Formulas!$R$23:$W$23,0))</f>
        <v>#REF!</v>
      </c>
      <c r="AD14" s="219">
        <f t="array" ref="AD14">INDEX(Formulas!$G$24:$O$27,MATCH($C14,Formulas!$F$24:$F$27,0),MATCH(AD$1,Formulas!$G$23:$O$23,0))*45</f>
        <v>0.091125</v>
      </c>
      <c r="AE14" s="219">
        <f>VLOOKUP($C14,Formulas!$K$31:$L$34,2,FALSE)</f>
        <v>0.4</v>
      </c>
      <c r="AF14" s="219">
        <f ca="1" t="shared" si="6"/>
        <v>0.7314454762</v>
      </c>
      <c r="AG14" s="230" t="e">
        <f>VLOOKUP(AG$1,Formulas!$F$47:$G$55,2,FALSE)*($E14+AC14+AD14)</f>
        <v>#REF!</v>
      </c>
      <c r="AH14" s="219">
        <f ca="1" t="shared" si="7"/>
        <v>0.3657227381</v>
      </c>
      <c r="AI14" s="219">
        <f ca="1" t="shared" si="8"/>
        <v>3.657227381</v>
      </c>
      <c r="AJ14" s="225">
        <f ca="1">VLOOKUP(AJ$1,Formulas!$I$31:$J$39,2,FALSE)*AI14</f>
        <v>13897.46405</v>
      </c>
      <c r="AK14" s="226"/>
      <c r="AL14" s="226" t="s">
        <v>294</v>
      </c>
      <c r="AN14" s="219" t="e">
        <f t="array" ref="AN14">INDEX(Formulas!$R$24:$W$64,MATCH($B14,Formulas!$Q$24:$Q$64,0),MATCH(AN$1,Formulas!$R$23:$W$23,0))</f>
        <v>#REF!</v>
      </c>
      <c r="AO14" s="219">
        <f t="array" ref="AO14">INDEX(Formulas!$G$24:$O$27,MATCH($C14,Formulas!$F$24:$F$27,0),MATCH(AO$1,Formulas!$G$23:$O$23,0))*45</f>
        <v>0.091125</v>
      </c>
      <c r="AP14" s="219">
        <f>VLOOKUP($C14,Formulas!$K$31:$L$34,2,FALSE)</f>
        <v>0.4</v>
      </c>
      <c r="AQ14" s="219">
        <f ca="1" t="shared" si="9"/>
        <v>0.4224490762</v>
      </c>
      <c r="AR14" s="230" t="e">
        <f>VLOOKUP(AR$1,Formulas!$F$47:$G$55,2,FALSE)*($E14+AN14+AO14)</f>
        <v>#REF!</v>
      </c>
      <c r="AS14" s="219">
        <f ca="1" t="shared" si="10"/>
        <v>0.2112245381</v>
      </c>
      <c r="AT14" s="219">
        <f ca="1" t="shared" si="11"/>
        <v>2.112245381</v>
      </c>
      <c r="AU14" s="225">
        <f ca="1">VLOOKUP(AU$1,Formulas!$I$31:$J$39,2,FALSE)*AT14</f>
        <v>1436.326859</v>
      </c>
      <c r="AV14" s="226">
        <v>1350</v>
      </c>
      <c r="AW14" s="226" t="s">
        <v>283</v>
      </c>
      <c r="AY14" s="219" t="e">
        <f t="array" ref="AY14">INDEX(Formulas!$R$24:$W$64,MATCH($B14,Formulas!$Q$24:$Q$64,0),MATCH(AY$1,Formulas!$R$23:$W$23,0))</f>
        <v>#REF!</v>
      </c>
      <c r="AZ14" s="219">
        <f t="array" ref="AZ14">INDEX(Formulas!$G$24:$O$27,MATCH($C14,Formulas!$F$24:$F$27,0),MATCH(AZ$1,Formulas!$G$23:$O$23,0))*45</f>
        <v>0.091125</v>
      </c>
      <c r="BA14" s="219">
        <f>VLOOKUP($C14,Formulas!$K$31:$L$34,2,FALSE)</f>
        <v>0.4</v>
      </c>
      <c r="BB14" s="219">
        <f ca="1" t="shared" si="12"/>
        <v>0.4232580476</v>
      </c>
      <c r="BC14" s="230" t="e">
        <f>VLOOKUP(BC$1,Formulas!$F$47:$G$55,2,FALSE)*($E14+AY14+AZ14)</f>
        <v>#REF!</v>
      </c>
      <c r="BD14" s="219">
        <f ca="1" t="shared" si="13"/>
        <v>0.2116290238</v>
      </c>
      <c r="BE14" s="219">
        <f ca="1" t="shared" si="14"/>
        <v>2.116290238</v>
      </c>
      <c r="BF14" s="225">
        <f ca="1">VLOOKUP(BF$1,Formulas!$I$31:$J$39,2,FALSE)*BE14</f>
        <v>1439.077362</v>
      </c>
      <c r="BG14" s="226">
        <v>1350</v>
      </c>
      <c r="BH14" s="226" t="s">
        <v>283</v>
      </c>
      <c r="BJ14" s="219" t="e">
        <f t="array" ref="BJ14">INDEX(Formulas!$R$24:$W$64,MATCH($B14,Formulas!$Q$24:$Q$64,0),MATCH(BJ$1,Formulas!$R$23:$W$23,0))</f>
        <v>#REF!</v>
      </c>
      <c r="BK14" s="219">
        <f t="array" ref="BK14">INDEX(Formulas!$G$24:$O$27,MATCH($C14,Formulas!$F$24:$F$27,0),MATCH(BK$1,Formulas!$G$23:$O$23,0))*45</f>
        <v>0.091125</v>
      </c>
      <c r="BL14" s="219">
        <f>VLOOKUP($C14,Formulas!$K$31:$L$34,2,FALSE)</f>
        <v>0.4</v>
      </c>
      <c r="BM14" s="219">
        <f ca="1" t="shared" si="15"/>
        <v>0.3763707262</v>
      </c>
      <c r="BN14" s="230" t="e">
        <f>VLOOKUP(BN$1,Formulas!$F$47:$G$55,2,FALSE)*($E14+BJ14+BK14)</f>
        <v>#REF!</v>
      </c>
      <c r="BO14" s="219">
        <f ca="1" t="shared" si="16"/>
        <v>0.1881853631</v>
      </c>
      <c r="BP14" s="219">
        <f ca="1" t="shared" si="17"/>
        <v>1.881853631</v>
      </c>
      <c r="BQ14" s="225">
        <f ca="1">VLOOKUP(BQ$1,Formulas!$I$31:$J$39,2,FALSE)*BP14</f>
        <v>23.52317039</v>
      </c>
      <c r="BR14" s="226">
        <v>10</v>
      </c>
      <c r="BS14" s="226" t="s">
        <v>283</v>
      </c>
      <c r="BT14" s="225"/>
    </row>
    <row r="15" ht="12.5" spans="2:72">
      <c r="B15" s="52" t="e">
        <f>#REF!</f>
        <v>#REF!</v>
      </c>
      <c r="C15" s="52" t="s">
        <v>3</v>
      </c>
      <c r="D15" s="218">
        <v>0.2</v>
      </c>
      <c r="E15" s="219" t="e">
        <f>#REF!</f>
        <v>#REF!</v>
      </c>
      <c r="G15" s="219" t="e">
        <f t="array" ref="G15">INDEX(Formulas!$R$24:$W$64,MATCH($B15,Formulas!$Q$24:$Q$64,0),MATCH(G$1,Formulas!$R$23:$W$23,0))</f>
        <v>#REF!</v>
      </c>
      <c r="H15" s="219">
        <f t="array" ref="H15">INDEX(Formulas!$G$24:$O$27,MATCH($C15,Formulas!$F$24:$F$27,0),MATCH(H$1,Formulas!$G$23:$O$23,0))*45</f>
        <v>0.31896</v>
      </c>
      <c r="I15" s="219">
        <f>VLOOKUP($C15,Formulas!$K$31:$L$34,2,FALSE)</f>
        <v>0.4</v>
      </c>
      <c r="J15" s="219">
        <f ca="1" t="shared" si="0"/>
        <v>1.586089587</v>
      </c>
      <c r="K15" s="219" t="e">
        <f>VLOOKUP(K$1,Formulas!$F$47:$G$55,2,FALSE)*($E15+G15+H15)</f>
        <v>#REF!</v>
      </c>
      <c r="L15" s="219">
        <f ca="1" t="shared" si="1"/>
        <v>0.7930447936</v>
      </c>
      <c r="M15" s="219">
        <f ca="1" t="shared" si="2"/>
        <v>7.930447936</v>
      </c>
      <c r="N15" s="225">
        <f ca="1">VLOOKUP(N$1,Formulas!$I$31:$J$39,2,FALSE)*M15</f>
        <v>7296.012101</v>
      </c>
      <c r="O15" s="226">
        <v>2500</v>
      </c>
      <c r="P15" s="226" t="s">
        <v>283</v>
      </c>
      <c r="R15" s="219" t="e">
        <f t="array" ref="R15">INDEX(Formulas!$R$24:$W$64,MATCH($B15,Formulas!$Q$24:$Q$64,0),MATCH(R$1,Formulas!$R$23:$W$23,0))</f>
        <v>#REF!</v>
      </c>
      <c r="S15" s="219">
        <f t="array" ref="S15">INDEX(Formulas!$G$24:$O$27,MATCH($C15,Formulas!$F$24:$F$27,0),MATCH(S$1,Formulas!$G$23:$O$23,0))*45</f>
        <v>0.227835</v>
      </c>
      <c r="T15" s="219">
        <f>VLOOKUP($C15,Formulas!$K$31:$L$34,2,FALSE)</f>
        <v>0.4</v>
      </c>
      <c r="U15" s="219">
        <f ca="1" t="shared" si="3"/>
        <v>1.683009029</v>
      </c>
      <c r="V15" s="230" t="e">
        <f>VLOOKUP(V$1,Formulas!$F$47:$G$55,2,FALSE)*($E15+R15+S15)</f>
        <v>#REF!</v>
      </c>
      <c r="W15" s="219">
        <f ca="1" t="shared" si="4"/>
        <v>0.8415045145</v>
      </c>
      <c r="X15" s="219">
        <f ca="1" t="shared" si="5"/>
        <v>8.415045145</v>
      </c>
      <c r="Y15" s="225">
        <f ca="1">VLOOKUP(Y$1,Formulas!$I$31:$J$39,2,FALSE)*X15</f>
        <v>1245.426681</v>
      </c>
      <c r="Z15" s="226">
        <v>699</v>
      </c>
      <c r="AA15" s="226" t="s">
        <v>291</v>
      </c>
      <c r="AC15" s="219" t="e">
        <f t="array" ref="AC15">INDEX(Formulas!$R$24:$W$64,MATCH($B15,Formulas!$Q$24:$Q$64,0),MATCH(AC$1,Formulas!$R$23:$W$23,0))</f>
        <v>#REF!</v>
      </c>
      <c r="AD15" s="219">
        <f t="array" ref="AD15">INDEX(Formulas!$G$24:$O$27,MATCH($C15,Formulas!$F$24:$F$27,0),MATCH(AD$1,Formulas!$G$23:$O$23,0))*45</f>
        <v>0.227835</v>
      </c>
      <c r="AE15" s="219">
        <f>VLOOKUP($C15,Formulas!$K$31:$L$34,2,FALSE)</f>
        <v>0.4</v>
      </c>
      <c r="AF15" s="219">
        <f ca="1" t="shared" si="6"/>
        <v>1.958232847</v>
      </c>
      <c r="AG15" s="230" t="e">
        <f>VLOOKUP(AG$1,Formulas!$F$47:$G$55,2,FALSE)*($E15+AC15+AD15)</f>
        <v>#REF!</v>
      </c>
      <c r="AH15" s="219">
        <f ca="1" t="shared" si="7"/>
        <v>0.9791164236</v>
      </c>
      <c r="AI15" s="219">
        <f ca="1" t="shared" si="8"/>
        <v>9.791164236</v>
      </c>
      <c r="AJ15" s="225">
        <f ca="1">VLOOKUP(AJ$1,Formulas!$I$31:$J$39,2,FALSE)*AI15</f>
        <v>37206.4241</v>
      </c>
      <c r="AK15" s="226"/>
      <c r="AL15" s="226" t="s">
        <v>294</v>
      </c>
      <c r="AN15" s="219" t="e">
        <f t="array" ref="AN15">INDEX(Formulas!$R$24:$W$64,MATCH($B15,Formulas!$Q$24:$Q$64,0),MATCH(AN$1,Formulas!$R$23:$W$23,0))</f>
        <v>#REF!</v>
      </c>
      <c r="AO15" s="219">
        <f t="array" ref="AO15">INDEX(Formulas!$G$24:$O$27,MATCH($C15,Formulas!$F$24:$F$27,0),MATCH(AO$1,Formulas!$G$23:$O$23,0))*45</f>
        <v>0.31896</v>
      </c>
      <c r="AP15" s="219">
        <f>VLOOKUP($C15,Formulas!$K$31:$L$34,2,FALSE)</f>
        <v>0.4</v>
      </c>
      <c r="AQ15" s="219">
        <f ca="1" t="shared" si="9"/>
        <v>1.534251148</v>
      </c>
      <c r="AR15" s="230" t="e">
        <f>VLOOKUP(AR$1,Formulas!$F$47:$G$55,2,FALSE)*($E15+AN15+AO15)</f>
        <v>#REF!</v>
      </c>
      <c r="AS15" s="219">
        <f ca="1" t="shared" si="10"/>
        <v>0.7671255742</v>
      </c>
      <c r="AT15" s="219">
        <f ca="1" t="shared" si="11"/>
        <v>7.671255742</v>
      </c>
      <c r="AU15" s="225">
        <f ca="1">VLOOKUP(AU$1,Formulas!$I$31:$J$39,2,FALSE)*AT15</f>
        <v>5216.453904</v>
      </c>
      <c r="AV15" s="226">
        <v>4900</v>
      </c>
      <c r="AW15" s="226" t="s">
        <v>283</v>
      </c>
      <c r="AY15" s="219" t="e">
        <f t="array" ref="AY15">INDEX(Formulas!$R$24:$W$64,MATCH($B15,Formulas!$Q$24:$Q$64,0),MATCH(AY$1,Formulas!$R$23:$W$23,0))</f>
        <v>#REF!</v>
      </c>
      <c r="AZ15" s="219">
        <f t="array" ref="AZ15">INDEX(Formulas!$G$24:$O$27,MATCH($C15,Formulas!$F$24:$F$27,0),MATCH(AZ$1,Formulas!$G$23:$O$23,0))*45</f>
        <v>0.227835</v>
      </c>
      <c r="BA15" s="219">
        <f>VLOOKUP($C15,Formulas!$K$31:$L$34,2,FALSE)</f>
        <v>0.4</v>
      </c>
      <c r="BB15" s="219">
        <f ca="1" t="shared" si="12"/>
        <v>1.515245859</v>
      </c>
      <c r="BC15" s="230" t="e">
        <f>VLOOKUP(BC$1,Formulas!$F$47:$G$55,2,FALSE)*($E15+AY15+AZ15)</f>
        <v>#REF!</v>
      </c>
      <c r="BD15" s="219">
        <f ca="1" t="shared" si="13"/>
        <v>0.7576229297</v>
      </c>
      <c r="BE15" s="219">
        <f ca="1" t="shared" si="14"/>
        <v>7.576229297</v>
      </c>
      <c r="BF15" s="225">
        <f ca="1">VLOOKUP(BF$1,Formulas!$I$31:$J$39,2,FALSE)*BE15</f>
        <v>5151.835922</v>
      </c>
      <c r="BG15" s="226">
        <v>4900</v>
      </c>
      <c r="BH15" s="226" t="s">
        <v>283</v>
      </c>
      <c r="BJ15" s="219" t="e">
        <f t="array" ref="BJ15">INDEX(Formulas!$R$24:$W$64,MATCH($B15,Formulas!$Q$24:$Q$64,0),MATCH(BJ$1,Formulas!$R$23:$W$23,0))</f>
        <v>#REF!</v>
      </c>
      <c r="BK15" s="219">
        <f t="array" ref="BK15">INDEX(Formulas!$G$24:$O$27,MATCH($C15,Formulas!$F$24:$F$27,0),MATCH(BK$1,Formulas!$G$23:$O$23,0))*45</f>
        <v>0.227835</v>
      </c>
      <c r="BL15" s="219">
        <f>VLOOKUP($C15,Formulas!$K$31:$L$34,2,FALSE)</f>
        <v>0.4</v>
      </c>
      <c r="BM15" s="219">
        <f ca="1" t="shared" si="15"/>
        <v>1.515551563</v>
      </c>
      <c r="BN15" s="230" t="e">
        <f>VLOOKUP(BN$1,Formulas!$F$47:$G$55,2,FALSE)*($E15+BJ15+BK15)</f>
        <v>#REF!</v>
      </c>
      <c r="BO15" s="219">
        <f ca="1" t="shared" si="16"/>
        <v>0.7577757816</v>
      </c>
      <c r="BP15" s="219">
        <f ca="1" t="shared" si="17"/>
        <v>7.577757816</v>
      </c>
      <c r="BQ15" s="225">
        <f ca="1">VLOOKUP(BQ$1,Formulas!$I$31:$J$39,2,FALSE)*BP15</f>
        <v>94.7219727</v>
      </c>
      <c r="BR15" s="226">
        <v>100</v>
      </c>
      <c r="BS15" s="226" t="s">
        <v>283</v>
      </c>
      <c r="BT15" s="225"/>
    </row>
    <row r="16" ht="12.5" spans="2:72">
      <c r="B16" s="52" t="e">
        <f>#REF!</f>
        <v>#REF!</v>
      </c>
      <c r="C16" s="52" t="s">
        <v>3</v>
      </c>
      <c r="D16" s="218">
        <v>0.2</v>
      </c>
      <c r="E16" s="219" t="e">
        <f>#REF!</f>
        <v>#REF!</v>
      </c>
      <c r="G16" s="219" t="e">
        <f t="array" ref="G16">INDEX(Formulas!$R$24:$W$64,MATCH($B16,Formulas!$Q$24:$Q$64,0),MATCH(G$1,Formulas!$R$23:$W$23,0))</f>
        <v>#REF!</v>
      </c>
      <c r="H16" s="219">
        <f t="array" ref="H16">INDEX(Formulas!$G$24:$O$27,MATCH($C16,Formulas!$F$24:$F$27,0),MATCH(H$1,Formulas!$G$23:$O$23,0))*45</f>
        <v>0.31896</v>
      </c>
      <c r="I16" s="219">
        <f>VLOOKUP($C16,Formulas!$K$31:$L$34,2,FALSE)</f>
        <v>0.4</v>
      </c>
      <c r="J16" s="219">
        <f ca="1" t="shared" si="0"/>
        <v>1.262096014</v>
      </c>
      <c r="K16" s="219" t="e">
        <f>VLOOKUP(K$1,Formulas!$F$47:$G$55,2,FALSE)*($E16+G16+H16)</f>
        <v>#REF!</v>
      </c>
      <c r="L16" s="219">
        <f ca="1" t="shared" si="1"/>
        <v>0.6310480071</v>
      </c>
      <c r="M16" s="219">
        <f ca="1" t="shared" si="2"/>
        <v>6.310480071</v>
      </c>
      <c r="N16" s="225">
        <f ca="1">VLOOKUP(N$1,Formulas!$I$31:$J$39,2,FALSE)*M16</f>
        <v>5805.641666</v>
      </c>
      <c r="O16" s="226">
        <v>2800</v>
      </c>
      <c r="P16" s="226" t="s">
        <v>283</v>
      </c>
      <c r="R16" s="219" t="e">
        <f t="array" ref="R16">INDEX(Formulas!$R$24:$W$64,MATCH($B16,Formulas!$Q$24:$Q$64,0),MATCH(R$1,Formulas!$R$23:$W$23,0))</f>
        <v>#REF!</v>
      </c>
      <c r="S16" s="219">
        <f t="array" ref="S16">INDEX(Formulas!$G$24:$O$27,MATCH($C16,Formulas!$F$24:$F$27,0),MATCH(S$1,Formulas!$G$23:$O$23,0))*45</f>
        <v>0.227835</v>
      </c>
      <c r="T16" s="219">
        <f>VLOOKUP($C16,Formulas!$K$31:$L$34,2,FALSE)</f>
        <v>0.4</v>
      </c>
      <c r="U16" s="219">
        <f ca="1" t="shared" si="3"/>
        <v>1.351425852</v>
      </c>
      <c r="V16" s="230" t="e">
        <f>VLOOKUP(V$1,Formulas!$F$47:$G$55,2,FALSE)*($E16+R16+S16)</f>
        <v>#REF!</v>
      </c>
      <c r="W16" s="219">
        <f ca="1" t="shared" si="4"/>
        <v>0.6757129261</v>
      </c>
      <c r="X16" s="219">
        <f ca="1" t="shared" si="5"/>
        <v>6.757129261</v>
      </c>
      <c r="Y16" s="225">
        <f ca="1">VLOOKUP(Y$1,Formulas!$I$31:$J$39,2,FALSE)*X16</f>
        <v>1000.055131</v>
      </c>
      <c r="Z16" s="226">
        <v>600</v>
      </c>
      <c r="AA16" s="226" t="s">
        <v>291</v>
      </c>
      <c r="AC16" s="219" t="e">
        <f t="array" ref="AC16">INDEX(Formulas!$R$24:$W$64,MATCH($B16,Formulas!$Q$24:$Q$64,0),MATCH(AC$1,Formulas!$R$23:$W$23,0))</f>
        <v>#REF!</v>
      </c>
      <c r="AD16" s="219">
        <f t="array" ref="AD16">INDEX(Formulas!$G$24:$O$27,MATCH($C16,Formulas!$F$24:$F$27,0),MATCH(AD$1,Formulas!$G$23:$O$23,0))*45</f>
        <v>0.227835</v>
      </c>
      <c r="AE16" s="219">
        <f>VLOOKUP($C16,Formulas!$K$31:$L$34,2,FALSE)</f>
        <v>0.4</v>
      </c>
      <c r="AF16" s="219">
        <f ca="1" t="shared" si="6"/>
        <v>1.682471924</v>
      </c>
      <c r="AG16" s="230" t="e">
        <f>VLOOKUP(AG$1,Formulas!$F$47:$G$55,2,FALSE)*($E16+AC16+AD16)</f>
        <v>#REF!</v>
      </c>
      <c r="AH16" s="219">
        <f ca="1" t="shared" si="7"/>
        <v>0.8412359619</v>
      </c>
      <c r="AI16" s="219">
        <f ca="1" t="shared" si="8"/>
        <v>8.412359619</v>
      </c>
      <c r="AJ16" s="225">
        <f ca="1">VLOOKUP(AJ$1,Formulas!$I$31:$J$39,2,FALSE)*AI16</f>
        <v>31966.96655</v>
      </c>
      <c r="AK16" s="226"/>
      <c r="AL16" s="226" t="s">
        <v>294</v>
      </c>
      <c r="AN16" s="219" t="e">
        <f t="array" ref="AN16">INDEX(Formulas!$R$24:$W$64,MATCH($B16,Formulas!$Q$24:$Q$64,0),MATCH(AN$1,Formulas!$R$23:$W$23,0))</f>
        <v>#REF!</v>
      </c>
      <c r="AO16" s="219">
        <f t="array" ref="AO16">INDEX(Formulas!$G$24:$O$27,MATCH($C16,Formulas!$F$24:$F$27,0),MATCH(AO$1,Formulas!$G$23:$O$23,0))*45</f>
        <v>0.31896</v>
      </c>
      <c r="AP16" s="219">
        <f>VLOOKUP($C16,Formulas!$K$31:$L$34,2,FALSE)</f>
        <v>0.4</v>
      </c>
      <c r="AQ16" s="219">
        <f ca="1" t="shared" si="9"/>
        <v>1.222306868</v>
      </c>
      <c r="AR16" s="230" t="e">
        <f>VLOOKUP(AR$1,Formulas!$F$47:$G$55,2,FALSE)*($E16+AN16+AO16)</f>
        <v>#REF!</v>
      </c>
      <c r="AS16" s="219">
        <f ca="1" t="shared" si="10"/>
        <v>0.6111534342</v>
      </c>
      <c r="AT16" s="219">
        <f ca="1" t="shared" si="11"/>
        <v>6.111534342</v>
      </c>
      <c r="AU16" s="225">
        <f ca="1">VLOOKUP(AU$1,Formulas!$I$31:$J$39,2,FALSE)*AT16</f>
        <v>4155.843352</v>
      </c>
      <c r="AV16" s="226">
        <v>3500</v>
      </c>
      <c r="AW16" s="226" t="s">
        <v>283</v>
      </c>
      <c r="AY16" s="219" t="e">
        <f t="array" ref="AY16">INDEX(Formulas!$R$24:$W$64,MATCH($B16,Formulas!$Q$24:$Q$64,0),MATCH(AY$1,Formulas!$R$23:$W$23,0))</f>
        <v>#REF!</v>
      </c>
      <c r="AZ16" s="219">
        <f t="array" ref="AZ16">INDEX(Formulas!$G$24:$O$27,MATCH($C16,Formulas!$F$24:$F$27,0),MATCH(AZ$1,Formulas!$G$23:$O$23,0))*45</f>
        <v>0.227835</v>
      </c>
      <c r="BA16" s="219">
        <f>VLOOKUP($C16,Formulas!$K$31:$L$34,2,FALSE)</f>
        <v>0.4</v>
      </c>
      <c r="BB16" s="219">
        <f ca="1" t="shared" si="12"/>
        <v>1.20073645</v>
      </c>
      <c r="BC16" s="230" t="e">
        <f>VLOOKUP(BC$1,Formulas!$F$47:$G$55,2,FALSE)*($E16+AY16+AZ16)</f>
        <v>#REF!</v>
      </c>
      <c r="BD16" s="219">
        <f ca="1" t="shared" si="13"/>
        <v>0.6003682248</v>
      </c>
      <c r="BE16" s="219">
        <f ca="1" t="shared" si="14"/>
        <v>6.003682248</v>
      </c>
      <c r="BF16" s="225">
        <f ca="1">VLOOKUP(BF$1,Formulas!$I$31:$J$39,2,FALSE)*BE16</f>
        <v>4082.503928</v>
      </c>
      <c r="BG16" s="226">
        <v>3500</v>
      </c>
      <c r="BH16" s="226" t="s">
        <v>283</v>
      </c>
      <c r="BJ16" s="219" t="e">
        <f t="array" ref="BJ16">INDEX(Formulas!$R$24:$W$64,MATCH($B16,Formulas!$Q$24:$Q$64,0),MATCH(BJ$1,Formulas!$R$23:$W$23,0))</f>
        <v>#REF!</v>
      </c>
      <c r="BK16" s="219">
        <f t="array" ref="BK16">INDEX(Formulas!$G$24:$O$27,MATCH($C16,Formulas!$F$24:$F$27,0),MATCH(BK$1,Formulas!$G$23:$O$23,0))*45</f>
        <v>0.227835</v>
      </c>
      <c r="BL16" s="219">
        <f>VLOOKUP($C16,Formulas!$K$31:$L$34,2,FALSE)</f>
        <v>0.4</v>
      </c>
      <c r="BM16" s="219">
        <f ca="1" t="shared" si="15"/>
        <v>1.170145353</v>
      </c>
      <c r="BN16" s="230" t="e">
        <f>VLOOKUP(BN$1,Formulas!$F$47:$G$55,2,FALSE)*($E16+BJ16+BK16)</f>
        <v>#REF!</v>
      </c>
      <c r="BO16" s="219">
        <f ca="1" t="shared" si="16"/>
        <v>0.5850726765</v>
      </c>
      <c r="BP16" s="219">
        <f ca="1" t="shared" si="17"/>
        <v>5.850726765</v>
      </c>
      <c r="BQ16" s="225">
        <f ca="1">VLOOKUP(BQ$1,Formulas!$I$31:$J$39,2,FALSE)*BP16</f>
        <v>73.13408457</v>
      </c>
      <c r="BR16" s="226">
        <v>65</v>
      </c>
      <c r="BS16" s="226" t="s">
        <v>283</v>
      </c>
      <c r="BT16" s="225"/>
    </row>
    <row r="17" ht="12.5" spans="2:72">
      <c r="B17" s="52" t="e">
        <f>#REF!</f>
        <v>#REF!</v>
      </c>
      <c r="C17" s="52" t="s">
        <v>3</v>
      </c>
      <c r="D17" s="218">
        <v>0.2</v>
      </c>
      <c r="E17" s="219" t="e">
        <f>#REF!</f>
        <v>#REF!</v>
      </c>
      <c r="G17" s="219" t="e">
        <f t="array" ref="G17">INDEX(Formulas!$R$24:$W$64,MATCH($B17,Formulas!$Q$24:$Q$64,0),MATCH(G$1,Formulas!$R$23:$W$23,0))</f>
        <v>#REF!</v>
      </c>
      <c r="H17" s="219">
        <f t="array" ref="H17">INDEX(Formulas!$G$24:$O$27,MATCH($C17,Formulas!$F$24:$F$27,0),MATCH(H$1,Formulas!$G$23:$O$23,0))*45</f>
        <v>0.31896</v>
      </c>
      <c r="I17" s="219">
        <f>VLOOKUP($C17,Formulas!$K$31:$L$34,2,FALSE)</f>
        <v>0.4</v>
      </c>
      <c r="J17" s="219">
        <f ca="1" t="shared" si="0"/>
        <v>1.951344335</v>
      </c>
      <c r="K17" s="219" t="e">
        <f>VLOOKUP(K$1,Formulas!$F$47:$G$55,2,FALSE)*($E17+G17+H17)</f>
        <v>#REF!</v>
      </c>
      <c r="L17" s="219">
        <f ca="1" t="shared" si="1"/>
        <v>0.9756721675</v>
      </c>
      <c r="M17" s="219">
        <f ca="1" t="shared" si="2"/>
        <v>9.756721675</v>
      </c>
      <c r="N17" s="225">
        <f ca="1">VLOOKUP(N$1,Formulas!$I$31:$J$39,2,FALSE)*M17</f>
        <v>8976.183941</v>
      </c>
      <c r="O17" s="226">
        <v>3000</v>
      </c>
      <c r="P17" s="226" t="s">
        <v>283</v>
      </c>
      <c r="R17" s="219" t="e">
        <f t="array" ref="R17">INDEX(Formulas!$R$24:$W$64,MATCH($B17,Formulas!$Q$24:$Q$64,0),MATCH(R$1,Formulas!$R$23:$W$23,0))</f>
        <v>#REF!</v>
      </c>
      <c r="S17" s="219">
        <f t="array" ref="S17">INDEX(Formulas!$G$24:$O$27,MATCH($C17,Formulas!$F$24:$F$27,0),MATCH(S$1,Formulas!$G$23:$O$23,0))*45</f>
        <v>0.227835</v>
      </c>
      <c r="T17" s="219">
        <f>VLOOKUP($C17,Formulas!$K$31:$L$34,2,FALSE)</f>
        <v>0.4</v>
      </c>
      <c r="U17" s="219">
        <f ca="1" t="shared" si="3"/>
        <v>2.294496741</v>
      </c>
      <c r="V17" s="230" t="e">
        <f>VLOOKUP(V$1,Formulas!$F$47:$G$55,2,FALSE)*($E17+R17+S17)</f>
        <v>#REF!</v>
      </c>
      <c r="W17" s="219">
        <f ca="1" t="shared" si="4"/>
        <v>1.147248371</v>
      </c>
      <c r="X17" s="219">
        <f ca="1" t="shared" si="5"/>
        <v>11.47248371</v>
      </c>
      <c r="Y17" s="225">
        <f ca="1">VLOOKUP(Y$1,Formulas!$I$31:$J$39,2,FALSE)*X17</f>
        <v>1697.927589</v>
      </c>
      <c r="Z17" s="226">
        <v>1200</v>
      </c>
      <c r="AA17" s="226" t="s">
        <v>291</v>
      </c>
      <c r="AC17" s="219" t="e">
        <f t="array" ref="AC17">INDEX(Formulas!$R$24:$W$64,MATCH($B17,Formulas!$Q$24:$Q$64,0),MATCH(AC$1,Formulas!$R$23:$W$23,0))</f>
        <v>#REF!</v>
      </c>
      <c r="AD17" s="219">
        <f t="array" ref="AD17">INDEX(Formulas!$G$24:$O$27,MATCH($C17,Formulas!$F$24:$F$27,0),MATCH(AD$1,Formulas!$G$23:$O$23,0))*45</f>
        <v>0.227835</v>
      </c>
      <c r="AE17" s="219">
        <f>VLOOKUP($C17,Formulas!$K$31:$L$34,2,FALSE)</f>
        <v>0.4</v>
      </c>
      <c r="AF17" s="219">
        <f ca="1" t="shared" si="6"/>
        <v>3.867091482</v>
      </c>
      <c r="AG17" s="230" t="e">
        <f>VLOOKUP(AG$1,Formulas!$F$47:$G$55,2,FALSE)*($E17+AC17+AD17)</f>
        <v>#REF!</v>
      </c>
      <c r="AH17" s="219">
        <f ca="1" t="shared" si="7"/>
        <v>1.933545741</v>
      </c>
      <c r="AI17" s="219">
        <f ca="1" t="shared" si="8"/>
        <v>19.33545741</v>
      </c>
      <c r="AJ17" s="225">
        <f ca="1">VLOOKUP(AJ$1,Formulas!$I$31:$J$39,2,FALSE)*AI17</f>
        <v>73474.73816</v>
      </c>
      <c r="AK17" s="226"/>
      <c r="AL17" s="226" t="s">
        <v>294</v>
      </c>
      <c r="AN17" s="219" t="e">
        <f t="array" ref="AN17">INDEX(Formulas!$R$24:$W$64,MATCH($B17,Formulas!$Q$24:$Q$64,0),MATCH(AN$1,Formulas!$R$23:$W$23,0))</f>
        <v>#REF!</v>
      </c>
      <c r="AO17" s="219">
        <f t="array" ref="AO17">INDEX(Formulas!$G$24:$O$27,MATCH($C17,Formulas!$F$24:$F$27,0),MATCH(AO$1,Formulas!$G$23:$O$23,0))*45</f>
        <v>0.31896</v>
      </c>
      <c r="AP17" s="219">
        <f>VLOOKUP($C17,Formulas!$K$31:$L$34,2,FALSE)</f>
        <v>0.4</v>
      </c>
      <c r="AQ17" s="219">
        <f ca="1" t="shared" si="9"/>
        <v>1.893404814</v>
      </c>
      <c r="AR17" s="230" t="e">
        <f>VLOOKUP(AR$1,Formulas!$F$47:$G$55,2,FALSE)*($E17+AN17+AO17)</f>
        <v>#REF!</v>
      </c>
      <c r="AS17" s="219">
        <f ca="1" t="shared" si="10"/>
        <v>0.946702407</v>
      </c>
      <c r="AT17" s="219">
        <f ca="1" t="shared" si="11"/>
        <v>9.46702407</v>
      </c>
      <c r="AU17" s="225">
        <f ca="1">VLOOKUP(AU$1,Formulas!$I$31:$J$39,2,FALSE)*AT17</f>
        <v>6437.576368</v>
      </c>
      <c r="AV17" s="226">
        <v>6900</v>
      </c>
      <c r="AW17" s="226" t="s">
        <v>283</v>
      </c>
      <c r="AY17" s="219" t="e">
        <f t="array" ref="AY17">INDEX(Formulas!$R$24:$W$64,MATCH($B17,Formulas!$Q$24:$Q$64,0),MATCH(AY$1,Formulas!$R$23:$W$23,0))</f>
        <v>#REF!</v>
      </c>
      <c r="AZ17" s="219">
        <f t="array" ref="AZ17">INDEX(Formulas!$G$24:$O$27,MATCH($C17,Formulas!$F$24:$F$27,0),MATCH(AZ$1,Formulas!$G$23:$O$23,0))*45</f>
        <v>0.227835</v>
      </c>
      <c r="BA17" s="219">
        <f>VLOOKUP($C17,Formulas!$K$31:$L$34,2,FALSE)</f>
        <v>0.4</v>
      </c>
      <c r="BB17" s="219">
        <f ca="1" t="shared" si="12"/>
        <v>1.869389752</v>
      </c>
      <c r="BC17" s="230" t="e">
        <f>VLOOKUP(BC$1,Formulas!$F$47:$G$55,2,FALSE)*($E17+AY17+AZ17)</f>
        <v>#REF!</v>
      </c>
      <c r="BD17" s="219">
        <f ca="1" t="shared" si="13"/>
        <v>0.9346948758</v>
      </c>
      <c r="BE17" s="219">
        <f ca="1" t="shared" si="14"/>
        <v>9.346948758</v>
      </c>
      <c r="BF17" s="225">
        <f ca="1">VLOOKUP(BF$1,Formulas!$I$31:$J$39,2,FALSE)*BE17</f>
        <v>6355.925155</v>
      </c>
      <c r="BG17" s="226">
        <v>6900</v>
      </c>
      <c r="BH17" s="226" t="s">
        <v>283</v>
      </c>
      <c r="BJ17" s="219" t="e">
        <f t="array" ref="BJ17">INDEX(Formulas!$R$24:$W$64,MATCH($B17,Formulas!$Q$24:$Q$64,0),MATCH(BJ$1,Formulas!$R$23:$W$23,0))</f>
        <v>#REF!</v>
      </c>
      <c r="BK17" s="219">
        <f t="array" ref="BK17">INDEX(Formulas!$G$24:$O$27,MATCH($C17,Formulas!$F$24:$F$27,0),MATCH(BK$1,Formulas!$G$23:$O$23,0))*45</f>
        <v>0.227835</v>
      </c>
      <c r="BL17" s="219">
        <f>VLOOKUP($C17,Formulas!$K$31:$L$34,2,FALSE)</f>
        <v>0.4</v>
      </c>
      <c r="BM17" s="219">
        <f ca="1" t="shared" si="15"/>
        <v>1.547936526</v>
      </c>
      <c r="BN17" s="230" t="e">
        <f>VLOOKUP(BN$1,Formulas!$F$47:$G$55,2,FALSE)*($E17+BJ17+BK17)</f>
        <v>#REF!</v>
      </c>
      <c r="BO17" s="219">
        <f ca="1" t="shared" si="16"/>
        <v>0.7739682631</v>
      </c>
      <c r="BP17" s="219">
        <f ca="1" t="shared" si="17"/>
        <v>7.739682631</v>
      </c>
      <c r="BQ17" s="225">
        <f ca="1">VLOOKUP(BQ$1,Formulas!$I$31:$J$39,2,FALSE)*BP17</f>
        <v>96.74603288</v>
      </c>
      <c r="BR17" s="226">
        <v>150</v>
      </c>
      <c r="BS17" s="226" t="s">
        <v>283</v>
      </c>
      <c r="BT17" s="225"/>
    </row>
    <row r="18" ht="12.5" spans="2:72">
      <c r="B18" s="52" t="e">
        <f>#REF!</f>
        <v>#REF!</v>
      </c>
      <c r="C18" s="52" t="s">
        <v>298</v>
      </c>
      <c r="D18" s="218">
        <v>0.2</v>
      </c>
      <c r="E18" s="219" t="e">
        <f>#REF!</f>
        <v>#REF!</v>
      </c>
      <c r="G18" s="219" t="e">
        <f t="array" ref="G18">INDEX(Formulas!$R$24:$W$64,MATCH($B18,Formulas!$Q$24:$Q$64,0),MATCH(G$1,Formulas!$R$23:$W$23,0))</f>
        <v>#REF!</v>
      </c>
      <c r="H18" s="219">
        <f t="array" ref="H18">INDEX(Formulas!$G$24:$O$27,MATCH($C18,Formulas!$F$24:$F$27,0),MATCH(H$1,Formulas!$G$23:$O$23,0))*45</f>
        <v>0.091125</v>
      </c>
      <c r="I18" s="219">
        <f>VLOOKUP($C18,Formulas!$K$31:$L$34,2,FALSE)</f>
        <v>0.4</v>
      </c>
      <c r="J18" s="219">
        <f ca="1" t="shared" si="0"/>
        <v>0.4180255143</v>
      </c>
      <c r="K18" s="219" t="e">
        <f>VLOOKUP(K$1,Formulas!$F$47:$G$55,2,FALSE)*($E18+G18+H18)</f>
        <v>#REF!</v>
      </c>
      <c r="L18" s="219">
        <f ca="1" t="shared" si="1"/>
        <v>0.2090127571</v>
      </c>
      <c r="M18" s="219">
        <f ca="1" t="shared" si="2"/>
        <v>2.090127571</v>
      </c>
      <c r="N18" s="225">
        <f ca="1">VLOOKUP(N$1,Formulas!$I$31:$J$39,2,FALSE)*M18</f>
        <v>1922.917366</v>
      </c>
      <c r="O18" s="226">
        <v>1500</v>
      </c>
      <c r="P18" s="226" t="s">
        <v>283</v>
      </c>
      <c r="R18" s="219" t="e">
        <f t="array" ref="R18">INDEX(Formulas!$R$24:$W$64,MATCH($B18,Formulas!$Q$24:$Q$64,0),MATCH(R$1,Formulas!$R$23:$W$23,0))</f>
        <v>#REF!</v>
      </c>
      <c r="S18" s="219">
        <f t="array" ref="S18">INDEX(Formulas!$G$24:$O$27,MATCH($C18,Formulas!$F$24:$F$27,0),MATCH(S$1,Formulas!$G$23:$O$23,0))*45</f>
        <v>0.091125</v>
      </c>
      <c r="T18" s="219">
        <f>VLOOKUP($C18,Formulas!$K$31:$L$34,2,FALSE)</f>
        <v>0.4</v>
      </c>
      <c r="U18" s="219">
        <f ca="1" t="shared" si="3"/>
        <v>0.4580381729</v>
      </c>
      <c r="V18" s="230" t="e">
        <f>VLOOKUP(V$1,Formulas!$F$47:$G$55,2,FALSE)*($E18+R18+S18)</f>
        <v>#REF!</v>
      </c>
      <c r="W18" s="219">
        <f ca="1" t="shared" si="4"/>
        <v>0.2290190864</v>
      </c>
      <c r="X18" s="219">
        <f ca="1" t="shared" si="5"/>
        <v>2.290190864</v>
      </c>
      <c r="Y18" s="225">
        <f ca="1">VLOOKUP(Y$1,Formulas!$I$31:$J$39,2,FALSE)*X18</f>
        <v>338.9482479</v>
      </c>
      <c r="Z18" s="226">
        <v>390</v>
      </c>
      <c r="AA18" s="226" t="s">
        <v>291</v>
      </c>
      <c r="AC18" s="219" t="e">
        <f t="array" ref="AC18">INDEX(Formulas!$R$24:$W$64,MATCH($B18,Formulas!$Q$24:$Q$64,0),MATCH(AC$1,Formulas!$R$23:$W$23,0))</f>
        <v>#REF!</v>
      </c>
      <c r="AD18" s="219">
        <f t="array" ref="AD18">INDEX(Formulas!$G$24:$O$27,MATCH($C18,Formulas!$F$24:$F$27,0),MATCH(AD$1,Formulas!$G$23:$O$23,0))*45</f>
        <v>0.091125</v>
      </c>
      <c r="AE18" s="219">
        <f>VLOOKUP($C18,Formulas!$K$31:$L$34,2,FALSE)</f>
        <v>0.4</v>
      </c>
      <c r="AF18" s="219">
        <f ca="1" t="shared" si="6"/>
        <v>0.5939887143</v>
      </c>
      <c r="AG18" s="230" t="e">
        <f>VLOOKUP(AG$1,Formulas!$F$47:$G$55,2,FALSE)*($E18+AC18+AD18)</f>
        <v>#REF!</v>
      </c>
      <c r="AH18" s="219">
        <f ca="1" t="shared" si="7"/>
        <v>0.2969943571</v>
      </c>
      <c r="AI18" s="219">
        <f ca="1" t="shared" si="8"/>
        <v>2.969943571</v>
      </c>
      <c r="AJ18" s="225">
        <f ca="1">VLOOKUP(AJ$1,Formulas!$I$31:$J$39,2,FALSE)*AI18</f>
        <v>11285.78557</v>
      </c>
      <c r="AK18" s="226"/>
      <c r="AL18" s="226" t="s">
        <v>294</v>
      </c>
      <c r="AN18" s="219" t="e">
        <f t="array" ref="AN18">INDEX(Formulas!$R$24:$W$64,MATCH($B18,Formulas!$Q$24:$Q$64,0),MATCH(AN$1,Formulas!$R$23:$W$23,0))</f>
        <v>#REF!</v>
      </c>
      <c r="AO18" s="219">
        <f t="array" ref="AO18">INDEX(Formulas!$G$24:$O$27,MATCH($C18,Formulas!$F$24:$F$27,0),MATCH(AO$1,Formulas!$G$23:$O$23,0))*45</f>
        <v>0.091125</v>
      </c>
      <c r="AP18" s="219">
        <f>VLOOKUP($C18,Formulas!$K$31:$L$34,2,FALSE)</f>
        <v>0.4</v>
      </c>
      <c r="AQ18" s="219">
        <f ca="1" t="shared" si="9"/>
        <v>0.40776516</v>
      </c>
      <c r="AR18" s="230" t="e">
        <f>VLOOKUP(AR$1,Formulas!$F$47:$G$55,2,FALSE)*($E18+AN18+AO18)</f>
        <v>#REF!</v>
      </c>
      <c r="AS18" s="219">
        <f ca="1" t="shared" si="10"/>
        <v>0.20388258</v>
      </c>
      <c r="AT18" s="219">
        <f ca="1" t="shared" si="11"/>
        <v>2.0388258</v>
      </c>
      <c r="AU18" s="225">
        <f ca="1">VLOOKUP(AU$1,Formulas!$I$31:$J$39,2,FALSE)*AT18</f>
        <v>1386.401544</v>
      </c>
      <c r="AV18" s="226">
        <v>1000</v>
      </c>
      <c r="AW18" s="226" t="s">
        <v>283</v>
      </c>
      <c r="AY18" s="219" t="e">
        <f t="array" ref="AY18">INDEX(Formulas!$R$24:$W$64,MATCH($B18,Formulas!$Q$24:$Q$64,0),MATCH(AY$1,Formulas!$R$23:$W$23,0))</f>
        <v>#REF!</v>
      </c>
      <c r="AZ18" s="219">
        <f t="array" ref="AZ18">INDEX(Formulas!$G$24:$O$27,MATCH($C18,Formulas!$F$24:$F$27,0),MATCH(AZ$1,Formulas!$G$23:$O$23,0))*45</f>
        <v>0.091125</v>
      </c>
      <c r="BA18" s="219">
        <f>VLOOKUP($C18,Formulas!$K$31:$L$34,2,FALSE)</f>
        <v>0.4</v>
      </c>
      <c r="BB18" s="219">
        <f ca="1" t="shared" si="12"/>
        <v>0.4090762571</v>
      </c>
      <c r="BC18" s="230" t="e">
        <f>VLOOKUP(BC$1,Formulas!$F$47:$G$55,2,FALSE)*($E18+AY18+AZ18)</f>
        <v>#REF!</v>
      </c>
      <c r="BD18" s="219">
        <f ca="1" t="shared" si="13"/>
        <v>0.2045381286</v>
      </c>
      <c r="BE18" s="219">
        <f ca="1" t="shared" si="14"/>
        <v>2.045381286</v>
      </c>
      <c r="BF18" s="225">
        <f ca="1">VLOOKUP(BF$1,Formulas!$I$31:$J$39,2,FALSE)*BE18</f>
        <v>1390.859274</v>
      </c>
      <c r="BG18" s="226">
        <v>1000</v>
      </c>
      <c r="BH18" s="226" t="s">
        <v>283</v>
      </c>
      <c r="BJ18" s="219" t="e">
        <f t="array" ref="BJ18">INDEX(Formulas!$R$24:$W$64,MATCH($B18,Formulas!$Q$24:$Q$64,0),MATCH(BJ$1,Formulas!$R$23:$W$23,0))</f>
        <v>#REF!</v>
      </c>
      <c r="BK18" s="219">
        <f t="array" ref="BK18">INDEX(Formulas!$G$24:$O$27,MATCH($C18,Formulas!$F$24:$F$27,0),MATCH(BK$1,Formulas!$G$23:$O$23,0))*45</f>
        <v>0.091125</v>
      </c>
      <c r="BL18" s="219">
        <f>VLOOKUP($C18,Formulas!$K$31:$L$34,2,FALSE)</f>
        <v>0.4</v>
      </c>
      <c r="BM18" s="219">
        <f ca="1" t="shared" si="15"/>
        <v>0.3886849357</v>
      </c>
      <c r="BN18" s="230" t="e">
        <f>VLOOKUP(BN$1,Formulas!$F$47:$G$55,2,FALSE)*($E18+BJ18+BK18)</f>
        <v>#REF!</v>
      </c>
      <c r="BO18" s="219">
        <f ca="1" t="shared" si="16"/>
        <v>0.1943424679</v>
      </c>
      <c r="BP18" s="219">
        <f ca="1" t="shared" si="17"/>
        <v>1.943424679</v>
      </c>
      <c r="BQ18" s="225">
        <f ca="1">VLOOKUP(BQ$1,Formulas!$I$31:$J$39,2,FALSE)*BP18</f>
        <v>24.29280848</v>
      </c>
      <c r="BR18" s="226">
        <v>54</v>
      </c>
      <c r="BS18" s="226" t="s">
        <v>283</v>
      </c>
      <c r="BT18" s="225"/>
    </row>
    <row r="19" ht="12.5" spans="2:72">
      <c r="B19" s="52" t="e">
        <f>#REF!</f>
        <v>#REF!</v>
      </c>
      <c r="C19" s="52" t="s">
        <v>298</v>
      </c>
      <c r="D19" s="218">
        <v>0.2</v>
      </c>
      <c r="E19" s="219" t="e">
        <f>#REF!</f>
        <v>#REF!</v>
      </c>
      <c r="G19" s="219" t="e">
        <f t="array" ref="G19">INDEX(Formulas!$R$24:$W$64,MATCH($B19,Formulas!$Q$24:$Q$64,0),MATCH(G$1,Formulas!$R$23:$W$23,0))</f>
        <v>#REF!</v>
      </c>
      <c r="H19" s="219">
        <f t="array" ref="H19">INDEX(Formulas!$G$24:$O$27,MATCH($C19,Formulas!$F$24:$F$27,0),MATCH(H$1,Formulas!$G$23:$O$23,0))*45</f>
        <v>0.091125</v>
      </c>
      <c r="I19" s="219">
        <f>VLOOKUP($C19,Formulas!$K$31:$L$34,2,FALSE)</f>
        <v>0.4</v>
      </c>
      <c r="J19" s="219">
        <f ca="1" t="shared" si="0"/>
        <v>0.2753416743</v>
      </c>
      <c r="K19" s="219" t="e">
        <f>VLOOKUP(K$1,Formulas!$F$47:$G$55,2,FALSE)*($E19+G19+H19)</f>
        <v>#REF!</v>
      </c>
      <c r="L19" s="219">
        <f ca="1" t="shared" si="1"/>
        <v>0.1376708371</v>
      </c>
      <c r="M19" s="219">
        <f ca="1" t="shared" si="2"/>
        <v>1.376708371</v>
      </c>
      <c r="N19" s="225">
        <f ca="1">VLOOKUP(N$1,Formulas!$I$31:$J$39,2,FALSE)*M19</f>
        <v>1266.571702</v>
      </c>
      <c r="O19" s="226">
        <v>1000</v>
      </c>
      <c r="P19" s="226" t="s">
        <v>283</v>
      </c>
      <c r="R19" s="219" t="e">
        <f t="array" ref="R19">INDEX(Formulas!$R$24:$W$64,MATCH($B19,Formulas!$Q$24:$Q$64,0),MATCH(R$1,Formulas!$R$23:$W$23,0))</f>
        <v>#REF!</v>
      </c>
      <c r="S19" s="219">
        <f t="array" ref="S19">INDEX(Formulas!$G$24:$O$27,MATCH($C19,Formulas!$F$24:$F$27,0),MATCH(S$1,Formulas!$G$23:$O$23,0))*45</f>
        <v>0.091125</v>
      </c>
      <c r="T19" s="219">
        <f>VLOOKUP($C19,Formulas!$K$31:$L$34,2,FALSE)</f>
        <v>0.4</v>
      </c>
      <c r="U19" s="219">
        <f ca="1" t="shared" si="3"/>
        <v>0.2943517546</v>
      </c>
      <c r="V19" s="230" t="e">
        <f>VLOOKUP(V$1,Formulas!$F$47:$G$55,2,FALSE)*($E19+R19+S19)</f>
        <v>#REF!</v>
      </c>
      <c r="W19" s="219">
        <f ca="1" t="shared" si="4"/>
        <v>0.1471758773</v>
      </c>
      <c r="X19" s="219">
        <f ca="1" t="shared" si="5"/>
        <v>1.471758773</v>
      </c>
      <c r="Y19" s="225">
        <f ca="1">VLOOKUP(Y$1,Formulas!$I$31:$J$39,2,FALSE)*X19</f>
        <v>217.8202984</v>
      </c>
      <c r="Z19" s="226">
        <v>300</v>
      </c>
      <c r="AA19" s="226" t="s">
        <v>283</v>
      </c>
      <c r="AC19" s="219" t="e">
        <f t="array" ref="AC19">INDEX(Formulas!$R$24:$W$64,MATCH($B19,Formulas!$Q$24:$Q$64,0),MATCH(AC$1,Formulas!$R$23:$W$23,0))</f>
        <v>#REF!</v>
      </c>
      <c r="AD19" s="219">
        <f t="array" ref="AD19">INDEX(Formulas!$G$24:$O$27,MATCH($C19,Formulas!$F$24:$F$27,0),MATCH(AD$1,Formulas!$G$23:$O$23,0))*45</f>
        <v>0.091125</v>
      </c>
      <c r="AE19" s="219">
        <f>VLOOKUP($C19,Formulas!$K$31:$L$34,2,FALSE)</f>
        <v>0.4</v>
      </c>
      <c r="AF19" s="219">
        <f ca="1" t="shared" si="6"/>
        <v>0.3538108857</v>
      </c>
      <c r="AG19" s="230" t="e">
        <f>VLOOKUP(AG$1,Formulas!$F$47:$G$55,2,FALSE)*($E19+AC19+AD19)</f>
        <v>#REF!</v>
      </c>
      <c r="AH19" s="219">
        <f ca="1" t="shared" si="7"/>
        <v>0.1769054429</v>
      </c>
      <c r="AI19" s="219">
        <f ca="1" t="shared" si="8"/>
        <v>1.769054429</v>
      </c>
      <c r="AJ19" s="225">
        <f ca="1">VLOOKUP(AJ$1,Formulas!$I$31:$J$39,2,FALSE)*AI19</f>
        <v>6722.406829</v>
      </c>
      <c r="AK19" s="226"/>
      <c r="AL19" s="226" t="s">
        <v>294</v>
      </c>
      <c r="AN19" s="219" t="e">
        <f t="array" ref="AN19">INDEX(Formulas!$R$24:$W$64,MATCH($B19,Formulas!$Q$24:$Q$64,0),MATCH(AN$1,Formulas!$R$23:$W$23,0))</f>
        <v>#REF!</v>
      </c>
      <c r="AO19" s="219">
        <f t="array" ref="AO19">INDEX(Formulas!$G$24:$O$27,MATCH($C19,Formulas!$F$24:$F$27,0),MATCH(AO$1,Formulas!$G$23:$O$23,0))*45</f>
        <v>0.091125</v>
      </c>
      <c r="AP19" s="219">
        <f>VLOOKUP($C19,Formulas!$K$31:$L$34,2,FALSE)</f>
        <v>0.4</v>
      </c>
      <c r="AQ19" s="219">
        <f ca="1" t="shared" si="9"/>
        <v>0.2698317291</v>
      </c>
      <c r="AR19" s="230" t="e">
        <f>VLOOKUP(AR$1,Formulas!$F$47:$G$55,2,FALSE)*($E19+AN19+AO19)</f>
        <v>#REF!</v>
      </c>
      <c r="AS19" s="219">
        <f ca="1" t="shared" si="10"/>
        <v>0.1349158646</v>
      </c>
      <c r="AT19" s="219">
        <f ca="1" t="shared" si="11"/>
        <v>1.349158646</v>
      </c>
      <c r="AU19" s="225">
        <f ca="1">VLOOKUP(AU$1,Formulas!$I$31:$J$39,2,FALSE)*AT19</f>
        <v>917.4278791</v>
      </c>
      <c r="AV19" s="226">
        <v>1000</v>
      </c>
      <c r="AW19" s="226" t="s">
        <v>283</v>
      </c>
      <c r="AY19" s="219" t="e">
        <f t="array" ref="AY19">INDEX(Formulas!$R$24:$W$64,MATCH($B19,Formulas!$Q$24:$Q$64,0),MATCH(AY$1,Formulas!$R$23:$W$23,0))</f>
        <v>#REF!</v>
      </c>
      <c r="AZ19" s="219">
        <f t="array" ref="AZ19">INDEX(Formulas!$G$24:$O$27,MATCH($C19,Formulas!$F$24:$F$27,0),MATCH(AZ$1,Formulas!$G$23:$O$23,0))*45</f>
        <v>0.091125</v>
      </c>
      <c r="BA19" s="219">
        <f>VLOOKUP($C19,Formulas!$K$31:$L$34,2,FALSE)</f>
        <v>0.4</v>
      </c>
      <c r="BB19" s="219">
        <f ca="1" t="shared" si="12"/>
        <v>0.27060028</v>
      </c>
      <c r="BC19" s="230" t="e">
        <f>VLOOKUP(BC$1,Formulas!$F$47:$G$55,2,FALSE)*($E19+AY19+AZ19)</f>
        <v>#REF!</v>
      </c>
      <c r="BD19" s="219">
        <f ca="1" t="shared" si="13"/>
        <v>0.13530014</v>
      </c>
      <c r="BE19" s="219">
        <f ca="1" t="shared" si="14"/>
        <v>1.3530014</v>
      </c>
      <c r="BF19" s="225">
        <f ca="1">VLOOKUP(BF$1,Formulas!$I$31:$J$39,2,FALSE)*BE19</f>
        <v>920.040952</v>
      </c>
      <c r="BG19" s="226">
        <v>1000</v>
      </c>
      <c r="BH19" s="226" t="s">
        <v>283</v>
      </c>
      <c r="BJ19" s="219" t="e">
        <f t="array" ref="BJ19">INDEX(Formulas!$R$24:$W$64,MATCH($B19,Formulas!$Q$24:$Q$64,0),MATCH(BJ$1,Formulas!$R$23:$W$23,0))</f>
        <v>#REF!</v>
      </c>
      <c r="BK19" s="219">
        <f t="array" ref="BK19">INDEX(Formulas!$G$24:$O$27,MATCH($C19,Formulas!$F$24:$F$27,0),MATCH(BK$1,Formulas!$G$23:$O$23,0))*45</f>
        <v>0.091125</v>
      </c>
      <c r="BL19" s="219">
        <f>VLOOKUP($C19,Formulas!$K$31:$L$34,2,FALSE)</f>
        <v>0.4</v>
      </c>
      <c r="BM19" s="219">
        <f ca="1" t="shared" si="15"/>
        <v>0.2630981586</v>
      </c>
      <c r="BN19" s="230" t="e">
        <f>VLOOKUP(BN$1,Formulas!$F$47:$G$55,2,FALSE)*($E19+BJ19+BK19)</f>
        <v>#REF!</v>
      </c>
      <c r="BO19" s="219">
        <f ca="1" t="shared" si="16"/>
        <v>0.1315490793</v>
      </c>
      <c r="BP19" s="219">
        <f ca="1" t="shared" si="17"/>
        <v>1.315490793</v>
      </c>
      <c r="BQ19" s="225">
        <f ca="1">VLOOKUP(BQ$1,Formulas!$I$31:$J$39,2,FALSE)*BP19</f>
        <v>16.44363491</v>
      </c>
      <c r="BR19" s="226">
        <v>32</v>
      </c>
      <c r="BS19" s="226" t="s">
        <v>283</v>
      </c>
      <c r="BT19" s="225"/>
    </row>
    <row r="20" ht="12.5" spans="2:72">
      <c r="B20" s="52" t="e">
        <f>#REF!</f>
        <v>#REF!</v>
      </c>
      <c r="C20" s="52" t="s">
        <v>298</v>
      </c>
      <c r="D20" s="218">
        <v>0.2</v>
      </c>
      <c r="E20" s="219" t="e">
        <f>#REF!</f>
        <v>#REF!</v>
      </c>
      <c r="G20" s="219" t="e">
        <f t="array" ref="G20">INDEX(Formulas!$R$24:$W$64,MATCH($B20,Formulas!$Q$24:$Q$64,0),MATCH(G$1,Formulas!$R$23:$W$23,0))</f>
        <v>#REF!</v>
      </c>
      <c r="H20" s="219">
        <f t="array" ref="H20">INDEX(Formulas!$G$24:$O$27,MATCH($C20,Formulas!$F$24:$F$27,0),MATCH(H$1,Formulas!$G$23:$O$23,0))*45</f>
        <v>0.091125</v>
      </c>
      <c r="I20" s="219">
        <f>VLOOKUP($C20,Formulas!$K$31:$L$34,2,FALSE)</f>
        <v>0.4</v>
      </c>
      <c r="J20" s="219">
        <f ca="1" t="shared" si="0"/>
        <v>0.6180774308</v>
      </c>
      <c r="K20" s="219" t="e">
        <f>VLOOKUP(K$1,Formulas!$F$47:$G$55,2,FALSE)*($E20+G20+H20)</f>
        <v>#REF!</v>
      </c>
      <c r="L20" s="219">
        <f ca="1" t="shared" si="1"/>
        <v>0.3090387154</v>
      </c>
      <c r="M20" s="219">
        <f ca="1" t="shared" si="2"/>
        <v>3.090387154</v>
      </c>
      <c r="N20" s="225">
        <f ca="1">VLOOKUP(N$1,Formulas!$I$31:$J$39,2,FALSE)*M20</f>
        <v>2843.156182</v>
      </c>
      <c r="O20" s="226">
        <v>1800</v>
      </c>
      <c r="P20" s="226" t="s">
        <v>283</v>
      </c>
      <c r="R20" s="219" t="e">
        <f t="array" ref="R20">INDEX(Formulas!$R$24:$W$64,MATCH($B20,Formulas!$Q$24:$Q$64,0),MATCH(R$1,Formulas!$R$23:$W$23,0))</f>
        <v>#REF!</v>
      </c>
      <c r="S20" s="219">
        <f t="array" ref="S20">INDEX(Formulas!$G$24:$O$27,MATCH($C20,Formulas!$F$24:$F$27,0),MATCH(S$1,Formulas!$G$23:$O$23,0))*45</f>
        <v>0.091125</v>
      </c>
      <c r="T20" s="219">
        <f>VLOOKUP($C20,Formulas!$K$31:$L$34,2,FALSE)</f>
        <v>0.4</v>
      </c>
      <c r="U20" s="219">
        <f ca="1" t="shared" si="3"/>
        <v>0.649378635</v>
      </c>
      <c r="V20" s="230" t="e">
        <f>VLOOKUP(V$1,Formulas!$F$47:$G$55,2,FALSE)*($E20+R20+S20)</f>
        <v>#REF!</v>
      </c>
      <c r="W20" s="219">
        <f ca="1" t="shared" si="4"/>
        <v>0.3246893175</v>
      </c>
      <c r="X20" s="219">
        <f ca="1" t="shared" si="5"/>
        <v>3.246893175</v>
      </c>
      <c r="Y20" s="225">
        <f ca="1">VLOOKUP(Y$1,Formulas!$I$31:$J$39,2,FALSE)*X20</f>
        <v>480.5401899</v>
      </c>
      <c r="Z20" s="226">
        <v>600</v>
      </c>
      <c r="AA20" s="226" t="s">
        <v>283</v>
      </c>
      <c r="AC20" s="219" t="e">
        <f t="array" ref="AC20">INDEX(Formulas!$R$24:$W$64,MATCH($B20,Formulas!$Q$24:$Q$64,0),MATCH(AC$1,Formulas!$R$23:$W$23,0))</f>
        <v>#REF!</v>
      </c>
      <c r="AD20" s="219">
        <f t="array" ref="AD20">INDEX(Formulas!$G$24:$O$27,MATCH($C20,Formulas!$F$24:$F$27,0),MATCH(AD$1,Formulas!$G$23:$O$23,0))*45</f>
        <v>0.091125</v>
      </c>
      <c r="AE20" s="219">
        <f>VLOOKUP($C20,Formulas!$K$31:$L$34,2,FALSE)</f>
        <v>0.4</v>
      </c>
      <c r="AF20" s="219">
        <f ca="1" t="shared" si="6"/>
        <v>0.6741819179</v>
      </c>
      <c r="AG20" s="230" t="e">
        <f>VLOOKUP(AG$1,Formulas!$F$47:$G$55,2,FALSE)*($E20+AC20+AD20)</f>
        <v>#REF!</v>
      </c>
      <c r="AH20" s="219">
        <f ca="1" t="shared" si="7"/>
        <v>0.337090959</v>
      </c>
      <c r="AI20" s="219">
        <f ca="1" t="shared" si="8"/>
        <v>3.37090959</v>
      </c>
      <c r="AJ20" s="225">
        <f ca="1">VLOOKUP(AJ$1,Formulas!$I$31:$J$39,2,FALSE)*AI20</f>
        <v>12809.45644</v>
      </c>
      <c r="AK20" s="226"/>
      <c r="AL20" s="226" t="s">
        <v>294</v>
      </c>
      <c r="AN20" s="219" t="e">
        <f t="array" ref="AN20">INDEX(Formulas!$R$24:$W$64,MATCH($B20,Formulas!$Q$24:$Q$64,0),MATCH(AN$1,Formulas!$R$23:$W$23,0))</f>
        <v>#REF!</v>
      </c>
      <c r="AO20" s="219">
        <f t="array" ref="AO20">INDEX(Formulas!$G$24:$O$27,MATCH($C20,Formulas!$F$24:$F$27,0),MATCH(AO$1,Formulas!$G$23:$O$23,0))*45</f>
        <v>0.091125</v>
      </c>
      <c r="AP20" s="219">
        <f>VLOOKUP($C20,Formulas!$K$31:$L$34,2,FALSE)</f>
        <v>0.4</v>
      </c>
      <c r="AQ20" s="219">
        <f ca="1" t="shared" si="9"/>
        <v>0.599955367</v>
      </c>
      <c r="AR20" s="230" t="e">
        <f>VLOOKUP(AR$1,Formulas!$F$47:$G$55,2,FALSE)*($E20+AN20+AO20)</f>
        <v>#REF!</v>
      </c>
      <c r="AS20" s="219">
        <f ca="1" t="shared" si="10"/>
        <v>0.2999776835</v>
      </c>
      <c r="AT20" s="219">
        <f ca="1" t="shared" si="11"/>
        <v>2.999776835</v>
      </c>
      <c r="AU20" s="225">
        <f ca="1">VLOOKUP(AU$1,Formulas!$I$31:$J$39,2,FALSE)*AT20</f>
        <v>2039.848248</v>
      </c>
      <c r="AV20" s="226">
        <v>1500</v>
      </c>
      <c r="AW20" s="226" t="s">
        <v>283</v>
      </c>
      <c r="AY20" s="219" t="e">
        <f t="array" ref="AY20">INDEX(Formulas!$R$24:$W$64,MATCH($B20,Formulas!$Q$24:$Q$64,0),MATCH(AY$1,Formulas!$R$23:$W$23,0))</f>
        <v>#REF!</v>
      </c>
      <c r="AZ20" s="219">
        <f t="array" ref="AZ20">INDEX(Formulas!$G$24:$O$27,MATCH($C20,Formulas!$F$24:$F$27,0),MATCH(AZ$1,Formulas!$G$23:$O$23,0))*45</f>
        <v>0.091125</v>
      </c>
      <c r="BA20" s="219">
        <f>VLOOKUP($C20,Formulas!$K$31:$L$34,2,FALSE)</f>
        <v>0.4</v>
      </c>
      <c r="BB20" s="219">
        <f ca="1" t="shared" si="12"/>
        <v>0.6032957275</v>
      </c>
      <c r="BC20" s="230" t="e">
        <f>VLOOKUP(BC$1,Formulas!$F$47:$G$55,2,FALSE)*($E20+AY20+AZ20)</f>
        <v>#REF!</v>
      </c>
      <c r="BD20" s="219">
        <f ca="1" t="shared" si="13"/>
        <v>0.3016478637</v>
      </c>
      <c r="BE20" s="219">
        <f ca="1" t="shared" si="14"/>
        <v>3.016478637</v>
      </c>
      <c r="BF20" s="225">
        <f ca="1">VLOOKUP(BF$1,Formulas!$I$31:$J$39,2,FALSE)*BE20</f>
        <v>2051.205473</v>
      </c>
      <c r="BG20" s="226">
        <v>1500</v>
      </c>
      <c r="BH20" s="226" t="s">
        <v>283</v>
      </c>
      <c r="BJ20" s="219" t="e">
        <f t="array" ref="BJ20">INDEX(Formulas!$R$24:$W$64,MATCH($B20,Formulas!$Q$24:$Q$64,0),MATCH(BJ$1,Formulas!$R$23:$W$23,0))</f>
        <v>#REF!</v>
      </c>
      <c r="BK20" s="219">
        <f t="array" ref="BK20">INDEX(Formulas!$G$24:$O$27,MATCH($C20,Formulas!$F$24:$F$27,0),MATCH(BK$1,Formulas!$G$23:$O$23,0))*45</f>
        <v>0.091125</v>
      </c>
      <c r="BL20" s="219">
        <f>VLOOKUP($C20,Formulas!$K$31:$L$34,2,FALSE)</f>
        <v>0.4</v>
      </c>
      <c r="BM20" s="219">
        <f ca="1" t="shared" si="15"/>
        <v>0.6220826337</v>
      </c>
      <c r="BN20" s="230" t="e">
        <f>VLOOKUP(BN$1,Formulas!$F$47:$G$55,2,FALSE)*($E20+BJ20+BK20)</f>
        <v>#REF!</v>
      </c>
      <c r="BO20" s="219">
        <f ca="1" t="shared" si="16"/>
        <v>0.3110413168</v>
      </c>
      <c r="BP20" s="219">
        <f ca="1" t="shared" si="17"/>
        <v>3.110413168</v>
      </c>
      <c r="BQ20" s="225">
        <f ca="1">VLOOKUP(BQ$1,Formulas!$I$31:$J$39,2,FALSE)*BP20</f>
        <v>38.8801646</v>
      </c>
      <c r="BR20" s="226">
        <v>24</v>
      </c>
      <c r="BS20" s="226" t="s">
        <v>283</v>
      </c>
      <c r="BT20" s="225"/>
    </row>
    <row r="21" ht="12.5" spans="2:72">
      <c r="B21" s="52" t="e">
        <f>#REF!</f>
        <v>#REF!</v>
      </c>
      <c r="C21" s="52" t="s">
        <v>34</v>
      </c>
      <c r="D21" s="218">
        <v>0.2</v>
      </c>
      <c r="E21" s="219" t="e">
        <f>#REF!</f>
        <v>#REF!</v>
      </c>
      <c r="G21" s="219" t="e">
        <f t="array" ref="G21">INDEX(Formulas!$R$24:$W$64,MATCH($B21,Formulas!$Q$24:$Q$64,0),MATCH(G$1,Formulas!$R$23:$W$23,0))</f>
        <v>#REF!</v>
      </c>
      <c r="H21" s="219">
        <f t="array" ref="H21">INDEX(Formulas!$G$24:$O$27,MATCH($C21,Formulas!$F$24:$F$27,0),MATCH(H$1,Formulas!$G$23:$O$23,0))*45</f>
        <v>0.8505</v>
      </c>
      <c r="I21" s="219">
        <f>VLOOKUP($C21,Formulas!$K$31:$L$34,2,FALSE)</f>
        <v>0.6</v>
      </c>
      <c r="J21" s="219">
        <f ca="1" t="shared" si="0"/>
        <v>1.217889907</v>
      </c>
      <c r="K21" s="219" t="e">
        <f>VLOOKUP(K$1,Formulas!$F$47:$G$55,2,FALSE)*($E21+G21+H21)</f>
        <v>#REF!</v>
      </c>
      <c r="L21" s="219">
        <f ca="1" t="shared" si="1"/>
        <v>0.6089449535</v>
      </c>
      <c r="M21" s="219">
        <f ca="1" t="shared" si="2"/>
        <v>6.089449535</v>
      </c>
      <c r="N21" s="225">
        <f ca="1">VLOOKUP(N$1,Formulas!$I$31:$J$39,2,FALSE)*M21</f>
        <v>5602.293572</v>
      </c>
      <c r="O21" s="226">
        <v>4500</v>
      </c>
      <c r="P21" s="226" t="s">
        <v>283</v>
      </c>
      <c r="R21" s="219" t="e">
        <f t="array" ref="R21">INDEX(Formulas!$R$24:$W$64,MATCH($B21,Formulas!$Q$24:$Q$64,0),MATCH(R$1,Formulas!$R$23:$W$23,0))</f>
        <v>#REF!</v>
      </c>
      <c r="S21" s="219">
        <f t="array" ref="S21">INDEX(Formulas!$G$24:$O$27,MATCH($C21,Formulas!$F$24:$F$27,0),MATCH(S$1,Formulas!$G$23:$O$23,0))*45</f>
        <v>0.6075</v>
      </c>
      <c r="T21" s="219">
        <f>VLOOKUP($C21,Formulas!$K$31:$L$34,2,FALSE)</f>
        <v>0.6</v>
      </c>
      <c r="U21" s="219">
        <f ca="1" t="shared" si="3"/>
        <v>1.288128665</v>
      </c>
      <c r="V21" s="230" t="e">
        <f>VLOOKUP(V$1,Formulas!$F$47:$G$55,2,FALSE)*($E21+R21+S21)</f>
        <v>#REF!</v>
      </c>
      <c r="W21" s="219">
        <f ca="1" t="shared" si="4"/>
        <v>0.6440643327</v>
      </c>
      <c r="X21" s="219">
        <f ca="1" t="shared" si="5"/>
        <v>6.440643327</v>
      </c>
      <c r="Y21" s="225">
        <f ca="1">VLOOKUP(Y$1,Formulas!$I$31:$J$39,2,FALSE)*X21</f>
        <v>953.2152124</v>
      </c>
      <c r="Z21" s="226">
        <v>1090</v>
      </c>
      <c r="AA21" s="226" t="s">
        <v>283</v>
      </c>
      <c r="AC21" s="219" t="e">
        <f t="array" ref="AC21">INDEX(Formulas!$R$24:$W$64,MATCH($B21,Formulas!$Q$24:$Q$64,0),MATCH(AC$1,Formulas!$R$23:$W$23,0))</f>
        <v>#REF!</v>
      </c>
      <c r="AD21" s="219">
        <f t="array" ref="AD21">INDEX(Formulas!$G$24:$O$27,MATCH($C21,Formulas!$F$24:$F$27,0),MATCH(AD$1,Formulas!$G$23:$O$23,0))*45</f>
        <v>0.6075</v>
      </c>
      <c r="AE21" s="219">
        <f>VLOOKUP($C21,Formulas!$K$31:$L$34,2,FALSE)</f>
        <v>0.6</v>
      </c>
      <c r="AF21" s="219">
        <f ca="1" t="shared" si="6"/>
        <v>1.826676879</v>
      </c>
      <c r="AG21" s="230" t="e">
        <f>VLOOKUP(AG$1,Formulas!$F$47:$G$55,2,FALSE)*($E21+AC21+AD21)</f>
        <v>#REF!</v>
      </c>
      <c r="AH21" s="219">
        <f ca="1" t="shared" si="7"/>
        <v>0.9133384393</v>
      </c>
      <c r="AI21" s="219">
        <f ca="1" t="shared" si="8"/>
        <v>9.133384393</v>
      </c>
      <c r="AJ21" s="225">
        <f ca="1">VLOOKUP(AJ$1,Formulas!$I$31:$J$39,2,FALSE)*AI21</f>
        <v>34706.8607</v>
      </c>
      <c r="AK21" s="226"/>
      <c r="AL21" s="226" t="s">
        <v>294</v>
      </c>
      <c r="AN21" s="219" t="e">
        <f t="array" ref="AN21">INDEX(Formulas!$R$24:$W$64,MATCH($B21,Formulas!$Q$24:$Q$64,0),MATCH(AN$1,Formulas!$R$23:$W$23,0))</f>
        <v>#REF!</v>
      </c>
      <c r="AO21" s="219">
        <f t="array" ref="AO21">INDEX(Formulas!$G$24:$O$27,MATCH($C21,Formulas!$F$24:$F$27,0),MATCH(AO$1,Formulas!$G$23:$O$23,0))*45</f>
        <v>0.8505</v>
      </c>
      <c r="AP21" s="219">
        <f>VLOOKUP($C21,Formulas!$K$31:$L$34,2,FALSE)</f>
        <v>0.6</v>
      </c>
      <c r="AQ21" s="219">
        <f ca="1" t="shared" si="9"/>
        <v>1.182896909</v>
      </c>
      <c r="AR21" s="230" t="e">
        <f>VLOOKUP(AR$1,Formulas!$F$47:$G$55,2,FALSE)*($E21+AN21+AO21)</f>
        <v>#REF!</v>
      </c>
      <c r="AS21" s="219">
        <f ca="1" t="shared" si="10"/>
        <v>0.5914484544</v>
      </c>
      <c r="AT21" s="219">
        <f ca="1" t="shared" si="11"/>
        <v>5.914484544</v>
      </c>
      <c r="AU21" s="225">
        <f ca="1">VLOOKUP(AU$1,Formulas!$I$31:$J$39,2,FALSE)*AT21</f>
        <v>4021.84949</v>
      </c>
      <c r="AV21" s="226">
        <v>3900</v>
      </c>
      <c r="AW21" s="226" t="s">
        <v>283</v>
      </c>
      <c r="AY21" s="219" t="e">
        <f t="array" ref="AY21">INDEX(Formulas!$R$24:$W$64,MATCH($B21,Formulas!$Q$24:$Q$64,0),MATCH(AY$1,Formulas!$R$23:$W$23,0))</f>
        <v>#REF!</v>
      </c>
      <c r="AZ21" s="219">
        <f t="array" ref="AZ21">INDEX(Formulas!$G$24:$O$27,MATCH($C21,Formulas!$F$24:$F$27,0),MATCH(AZ$1,Formulas!$G$23:$O$23,0))*45</f>
        <v>0.6075</v>
      </c>
      <c r="BA21" s="219">
        <f>VLOOKUP($C21,Formulas!$K$31:$L$34,2,FALSE)</f>
        <v>0.6</v>
      </c>
      <c r="BB21" s="219">
        <f ca="1" t="shared" si="12"/>
        <v>1.113443181</v>
      </c>
      <c r="BC21" s="230" t="e">
        <f>VLOOKUP(BC$1,Formulas!$F$47:$G$55,2,FALSE)*($E21+AY21+AZ21)</f>
        <v>#REF!</v>
      </c>
      <c r="BD21" s="219">
        <f ca="1" t="shared" si="13"/>
        <v>0.5567215907</v>
      </c>
      <c r="BE21" s="219">
        <f ca="1" t="shared" si="14"/>
        <v>5.567215907</v>
      </c>
      <c r="BF21" s="225">
        <f ca="1">VLOOKUP(BF$1,Formulas!$I$31:$J$39,2,FALSE)*BE21</f>
        <v>3785.706817</v>
      </c>
      <c r="BG21" s="226">
        <v>3900</v>
      </c>
      <c r="BH21" s="226" t="s">
        <v>283</v>
      </c>
      <c r="BJ21" s="219" t="e">
        <f t="array" ref="BJ21">INDEX(Formulas!$R$24:$W$64,MATCH($B21,Formulas!$Q$24:$Q$64,0),MATCH(BJ$1,Formulas!$R$23:$W$23,0))</f>
        <v>#REF!</v>
      </c>
      <c r="BK21" s="219">
        <f t="array" ref="BK21">INDEX(Formulas!$G$24:$O$27,MATCH($C21,Formulas!$F$24:$F$27,0),MATCH(BK$1,Formulas!$G$23:$O$23,0))*45</f>
        <v>0.6075</v>
      </c>
      <c r="BL21" s="219">
        <f>VLOOKUP($C21,Formulas!$K$31:$L$34,2,FALSE)</f>
        <v>0.6</v>
      </c>
      <c r="BM21" s="219">
        <f ca="1" t="shared" si="15"/>
        <v>1.020991337</v>
      </c>
      <c r="BN21" s="230" t="e">
        <f>VLOOKUP(BN$1,Formulas!$F$47:$G$55,2,FALSE)*($E21+BJ21+BK21)</f>
        <v>#REF!</v>
      </c>
      <c r="BO21" s="219">
        <f ca="1" t="shared" si="16"/>
        <v>0.5104956683</v>
      </c>
      <c r="BP21" s="219">
        <f ca="1" t="shared" si="17"/>
        <v>5.104956683</v>
      </c>
      <c r="BQ21" s="225">
        <f ca="1">VLOOKUP(BQ$1,Formulas!$I$31:$J$39,2,FALSE)*BP21</f>
        <v>63.81195854</v>
      </c>
      <c r="BR21" s="226">
        <v>67</v>
      </c>
      <c r="BS21" s="226" t="s">
        <v>283</v>
      </c>
      <c r="BT21" s="225"/>
    </row>
    <row r="22" ht="12.5" spans="2:72">
      <c r="B22" s="52" t="e">
        <f>#REF!</f>
        <v>#REF!</v>
      </c>
      <c r="C22" s="52" t="s">
        <v>3</v>
      </c>
      <c r="D22" s="218">
        <v>0.2</v>
      </c>
      <c r="E22" s="219" t="e">
        <f>#REF!</f>
        <v>#REF!</v>
      </c>
      <c r="G22" s="219" t="e">
        <f t="array" ref="G22">INDEX(Formulas!$R$24:$W$64,MATCH($B22,Formulas!$Q$24:$Q$64,0),MATCH(G$1,Formulas!$R$23:$W$23,0))</f>
        <v>#REF!</v>
      </c>
      <c r="H22" s="219">
        <f t="array" ref="H22">INDEX(Formulas!$G$24:$O$27,MATCH($C22,Formulas!$F$24:$F$27,0),MATCH(H$1,Formulas!$G$23:$O$23,0))*45</f>
        <v>0.31896</v>
      </c>
      <c r="I22" s="219">
        <f>VLOOKUP($C22,Formulas!$K$31:$L$34,2,FALSE)</f>
        <v>0.4</v>
      </c>
      <c r="J22" s="219">
        <f ca="1" t="shared" si="0"/>
        <v>1.588303098</v>
      </c>
      <c r="K22" s="219" t="e">
        <f>VLOOKUP(K$1,Formulas!$F$47:$G$55,2,FALSE)*($E22+G22+H22)</f>
        <v>#REF!</v>
      </c>
      <c r="L22" s="219">
        <f ca="1" t="shared" si="1"/>
        <v>0.7941515491</v>
      </c>
      <c r="M22" s="219">
        <f ca="1" t="shared" si="2"/>
        <v>7.941515491</v>
      </c>
      <c r="N22" s="225">
        <f ca="1">VLOOKUP(N$1,Formulas!$I$31:$J$39,2,FALSE)*M22</f>
        <v>7306.194252</v>
      </c>
      <c r="O22" s="226">
        <v>3000</v>
      </c>
      <c r="P22" s="226" t="s">
        <v>283</v>
      </c>
      <c r="R22" s="219" t="e">
        <f t="array" ref="R22">INDEX(Formulas!$R$24:$W$64,MATCH($B22,Formulas!$Q$24:$Q$64,0),MATCH(R$1,Formulas!$R$23:$W$23,0))</f>
        <v>#REF!</v>
      </c>
      <c r="S22" s="219">
        <f t="array" ref="S22">INDEX(Formulas!$G$24:$O$27,MATCH($C22,Formulas!$F$24:$F$27,0),MATCH(S$1,Formulas!$G$23:$O$23,0))*45</f>
        <v>0.227835</v>
      </c>
      <c r="T22" s="219">
        <f>VLOOKUP($C22,Formulas!$K$31:$L$34,2,FALSE)</f>
        <v>0.4</v>
      </c>
      <c r="U22" s="219">
        <f ca="1" t="shared" si="3"/>
        <v>1.744424381</v>
      </c>
      <c r="V22" s="230" t="e">
        <f>VLOOKUP(V$1,Formulas!$F$47:$G$55,2,FALSE)*($E22+R22+S22)</f>
        <v>#REF!</v>
      </c>
      <c r="W22" s="219">
        <f ca="1" t="shared" si="4"/>
        <v>0.8722121904</v>
      </c>
      <c r="X22" s="219">
        <f ca="1" t="shared" si="5"/>
        <v>8.722121904</v>
      </c>
      <c r="Y22" s="225">
        <f ca="1">VLOOKUP(Y$1,Formulas!$I$31:$J$39,2,FALSE)*X22</f>
        <v>1290.874042</v>
      </c>
      <c r="Z22" s="226" t="s">
        <v>296</v>
      </c>
      <c r="AA22" s="226" t="s">
        <v>291</v>
      </c>
      <c r="AC22" s="219" t="e">
        <f t="array" ref="AC22">INDEX(Formulas!$R$24:$W$64,MATCH($B22,Formulas!$Q$24:$Q$64,0),MATCH(AC$1,Formulas!$R$23:$W$23,0))</f>
        <v>#REF!</v>
      </c>
      <c r="AD22" s="219">
        <f t="array" ref="AD22">INDEX(Formulas!$G$24:$O$27,MATCH($C22,Formulas!$F$24:$F$27,0),MATCH(AD$1,Formulas!$G$23:$O$23,0))*45</f>
        <v>0.227835</v>
      </c>
      <c r="AE22" s="219">
        <f>VLOOKUP($C22,Formulas!$K$31:$L$34,2,FALSE)</f>
        <v>0.4</v>
      </c>
      <c r="AF22" s="219">
        <f ca="1" t="shared" si="6"/>
        <v>2.357801586</v>
      </c>
      <c r="AG22" s="230" t="e">
        <f>VLOOKUP(AG$1,Formulas!$F$47:$G$55,2,FALSE)*($E22+AC22+AD22)</f>
        <v>#REF!</v>
      </c>
      <c r="AH22" s="219">
        <f ca="1" t="shared" si="7"/>
        <v>1.178900793</v>
      </c>
      <c r="AI22" s="219">
        <f ca="1" t="shared" si="8"/>
        <v>11.78900793</v>
      </c>
      <c r="AJ22" s="225">
        <f ca="1">VLOOKUP(AJ$1,Formulas!$I$31:$J$39,2,FALSE)*AI22</f>
        <v>44798.23013</v>
      </c>
      <c r="AK22" s="226"/>
      <c r="AL22" s="226" t="s">
        <v>294</v>
      </c>
      <c r="AN22" s="219" t="e">
        <f t="array" ref="AN22">INDEX(Formulas!$R$24:$W$64,MATCH($B22,Formulas!$Q$24:$Q$64,0),MATCH(AN$1,Formulas!$R$23:$W$23,0))</f>
        <v>#REF!</v>
      </c>
      <c r="AO22" s="219">
        <f t="array" ref="AO22">INDEX(Formulas!$G$24:$O$27,MATCH($C22,Formulas!$F$24:$F$27,0),MATCH(AO$1,Formulas!$G$23:$O$23,0))*45</f>
        <v>0.31896</v>
      </c>
      <c r="AP22" s="219">
        <f>VLOOKUP($C22,Formulas!$K$31:$L$34,2,FALSE)</f>
        <v>0.4</v>
      </c>
      <c r="AQ22" s="219">
        <f ca="1" t="shared" si="9"/>
        <v>1.538244541</v>
      </c>
      <c r="AR22" s="230" t="e">
        <f>VLOOKUP(AR$1,Formulas!$F$47:$G$55,2,FALSE)*($E22+AN22+AO22)</f>
        <v>#REF!</v>
      </c>
      <c r="AS22" s="219">
        <f ca="1" t="shared" si="10"/>
        <v>0.7691222705</v>
      </c>
      <c r="AT22" s="219">
        <f ca="1" t="shared" si="11"/>
        <v>7.691222705</v>
      </c>
      <c r="AU22" s="225">
        <f ca="1">VLOOKUP(AU$1,Formulas!$I$31:$J$39,2,FALSE)*AT22</f>
        <v>5230.03144</v>
      </c>
      <c r="AV22" s="226">
        <v>4500</v>
      </c>
      <c r="AW22" s="226" t="s">
        <v>283</v>
      </c>
      <c r="AY22" s="219" t="e">
        <f t="array" ref="AY22">INDEX(Formulas!$R$24:$W$64,MATCH($B22,Formulas!$Q$24:$Q$64,0),MATCH(AY$1,Formulas!$R$23:$W$23,0))</f>
        <v>#REF!</v>
      </c>
      <c r="AZ22" s="219">
        <f t="array" ref="AZ22">INDEX(Formulas!$G$24:$O$27,MATCH($C22,Formulas!$F$24:$F$27,0),MATCH(AZ$1,Formulas!$G$23:$O$23,0))*45</f>
        <v>0.227835</v>
      </c>
      <c r="BA22" s="219">
        <f>VLOOKUP($C22,Formulas!$K$31:$L$34,2,FALSE)</f>
        <v>0.4</v>
      </c>
      <c r="BB22" s="219">
        <f ca="1" t="shared" si="12"/>
        <v>1.517290333</v>
      </c>
      <c r="BC22" s="230" t="e">
        <f>VLOOKUP(BC$1,Formulas!$F$47:$G$55,2,FALSE)*($E22+AY22+AZ22)</f>
        <v>#REF!</v>
      </c>
      <c r="BD22" s="219">
        <f ca="1" t="shared" si="13"/>
        <v>0.7586451663</v>
      </c>
      <c r="BE22" s="219">
        <f ca="1" t="shared" si="14"/>
        <v>7.586451663</v>
      </c>
      <c r="BF22" s="225">
        <f ca="1">VLOOKUP(BF$1,Formulas!$I$31:$J$39,2,FALSE)*BE22</f>
        <v>5158.787131</v>
      </c>
      <c r="BG22" s="226">
        <v>4500</v>
      </c>
      <c r="BH22" s="226" t="s">
        <v>283</v>
      </c>
      <c r="BJ22" s="219" t="e">
        <f t="array" ref="BJ22">INDEX(Formulas!$R$24:$W$64,MATCH($B22,Formulas!$Q$24:$Q$64,0),MATCH(BJ$1,Formulas!$R$23:$W$23,0))</f>
        <v>#REF!</v>
      </c>
      <c r="BK22" s="219">
        <f t="array" ref="BK22">INDEX(Formulas!$G$24:$O$27,MATCH($C22,Formulas!$F$24:$F$27,0),MATCH(BK$1,Formulas!$G$23:$O$23,0))*45</f>
        <v>0.227835</v>
      </c>
      <c r="BL22" s="219">
        <f>VLOOKUP($C22,Formulas!$K$31:$L$34,2,FALSE)</f>
        <v>0.4</v>
      </c>
      <c r="BM22" s="219">
        <f ca="1" t="shared" si="15"/>
        <v>1.429063405</v>
      </c>
      <c r="BN22" s="230" t="e">
        <f>VLOOKUP(BN$1,Formulas!$F$47:$G$55,2,FALSE)*($E22+BJ22+BK22)</f>
        <v>#REF!</v>
      </c>
      <c r="BO22" s="219">
        <f ca="1" t="shared" si="16"/>
        <v>0.7145317024</v>
      </c>
      <c r="BP22" s="219">
        <f ca="1" t="shared" si="17"/>
        <v>7.145317024</v>
      </c>
      <c r="BQ22" s="225">
        <f ca="1">VLOOKUP(BQ$1,Formulas!$I$31:$J$39,2,FALSE)*BP22</f>
        <v>89.3164628</v>
      </c>
      <c r="BR22" s="226">
        <v>194</v>
      </c>
      <c r="BS22" s="226" t="s">
        <v>283</v>
      </c>
      <c r="BT22" s="225"/>
    </row>
    <row r="23" ht="12.5" spans="2:72">
      <c r="B23" s="52" t="e">
        <f>#REF!</f>
        <v>#REF!</v>
      </c>
      <c r="C23" s="52" t="s">
        <v>34</v>
      </c>
      <c r="D23" s="218">
        <v>0.2</v>
      </c>
      <c r="E23" s="219" t="e">
        <f>#REF!</f>
        <v>#REF!</v>
      </c>
      <c r="G23" s="219" t="e">
        <f t="array" ref="G23">INDEX(Formulas!$R$24:$W$64,MATCH($B23,Formulas!$Q$24:$Q$64,0),MATCH(G$1,Formulas!$R$23:$W$23,0))</f>
        <v>#REF!</v>
      </c>
      <c r="H23" s="219">
        <f t="array" ref="H23">INDEX(Formulas!$G$24:$O$27,MATCH($C23,Formulas!$F$24:$F$27,0),MATCH(H$1,Formulas!$G$23:$O$23,0))*45</f>
        <v>0.8505</v>
      </c>
      <c r="I23" s="219">
        <f>VLOOKUP($C23,Formulas!$K$31:$L$34,2,FALSE)</f>
        <v>0.6</v>
      </c>
      <c r="J23" s="219">
        <f ca="1" t="shared" si="0"/>
        <v>1.606191771</v>
      </c>
      <c r="K23" s="219" t="e">
        <f>VLOOKUP(K$1,Formulas!$F$47:$G$55,2,FALSE)*($E23+G23+H23)</f>
        <v>#REF!</v>
      </c>
      <c r="L23" s="219">
        <f ca="1" t="shared" si="1"/>
        <v>0.8030958857</v>
      </c>
      <c r="M23" s="219">
        <f ca="1" t="shared" si="2"/>
        <v>8.030958857</v>
      </c>
      <c r="N23" s="225">
        <f ca="1">VLOOKUP(N$1,Formulas!$I$31:$J$39,2,FALSE)*M23</f>
        <v>7388.482149</v>
      </c>
      <c r="O23" s="226">
        <v>3800</v>
      </c>
      <c r="P23" s="226" t="s">
        <v>283</v>
      </c>
      <c r="R23" s="219" t="e">
        <f t="array" ref="R23">INDEX(Formulas!$R$24:$W$64,MATCH($B23,Formulas!$Q$24:$Q$64,0),MATCH(R$1,Formulas!$R$23:$W$23,0))</f>
        <v>#REF!</v>
      </c>
      <c r="S23" s="219">
        <f t="array" ref="S23">INDEX(Formulas!$G$24:$O$27,MATCH($C23,Formulas!$F$24:$F$27,0),MATCH(S$1,Formulas!$G$23:$O$23,0))*45</f>
        <v>0.6075</v>
      </c>
      <c r="T23" s="219">
        <f>VLOOKUP($C23,Formulas!$K$31:$L$34,2,FALSE)</f>
        <v>0.6</v>
      </c>
      <c r="U23" s="219">
        <f ca="1" t="shared" si="3"/>
        <v>1.679175034</v>
      </c>
      <c r="V23" s="230" t="e">
        <f>VLOOKUP(V$1,Formulas!$F$47:$G$55,2,FALSE)*($E23+R23+S23)</f>
        <v>#REF!</v>
      </c>
      <c r="W23" s="219">
        <f ca="1" t="shared" si="4"/>
        <v>0.8395875171</v>
      </c>
      <c r="X23" s="219">
        <f ca="1" t="shared" si="5"/>
        <v>8.395875171</v>
      </c>
      <c r="Y23" s="225">
        <f ca="1">VLOOKUP(Y$1,Formulas!$I$31:$J$39,2,FALSE)*X23</f>
        <v>1242.589525</v>
      </c>
      <c r="Z23" s="226">
        <v>699</v>
      </c>
      <c r="AA23" s="226" t="s">
        <v>291</v>
      </c>
      <c r="AC23" s="219" t="e">
        <f t="array" ref="AC23">INDEX(Formulas!$R$24:$W$64,MATCH($B23,Formulas!$Q$24:$Q$64,0),MATCH(AC$1,Formulas!$R$23:$W$23,0))</f>
        <v>#REF!</v>
      </c>
      <c r="AD23" s="219">
        <f t="array" ref="AD23">INDEX(Formulas!$G$24:$O$27,MATCH($C23,Formulas!$F$24:$F$27,0),MATCH(AD$1,Formulas!$G$23:$O$23,0))*45</f>
        <v>0.6075</v>
      </c>
      <c r="AE23" s="219">
        <f>VLOOKUP($C23,Formulas!$K$31:$L$34,2,FALSE)</f>
        <v>0.6</v>
      </c>
      <c r="AF23" s="219">
        <f ca="1" t="shared" si="6"/>
        <v>2.114469143</v>
      </c>
      <c r="AG23" s="230" t="e">
        <f>VLOOKUP(AG$1,Formulas!$F$47:$G$55,2,FALSE)*($E23+AC23+AD23)</f>
        <v>#REF!</v>
      </c>
      <c r="AH23" s="219">
        <f ca="1" t="shared" si="7"/>
        <v>1.057234571</v>
      </c>
      <c r="AI23" s="219">
        <f ca="1" t="shared" si="8"/>
        <v>10.57234571</v>
      </c>
      <c r="AJ23" s="225">
        <f ca="1">VLOOKUP(AJ$1,Formulas!$I$31:$J$39,2,FALSE)*AI23</f>
        <v>40174.91371</v>
      </c>
      <c r="AK23" s="226"/>
      <c r="AL23" s="226" t="s">
        <v>294</v>
      </c>
      <c r="AN23" s="219" t="e">
        <f t="array" ref="AN23">INDEX(Formulas!$R$24:$W$64,MATCH($B23,Formulas!$Q$24:$Q$64,0),MATCH(AN$1,Formulas!$R$23:$W$23,0))</f>
        <v>#REF!</v>
      </c>
      <c r="AO23" s="219">
        <f t="array" ref="AO23">INDEX(Formulas!$G$24:$O$27,MATCH($C23,Formulas!$F$24:$F$27,0),MATCH(AO$1,Formulas!$G$23:$O$23,0))*45</f>
        <v>0.8505</v>
      </c>
      <c r="AP23" s="219">
        <f>VLOOKUP($C23,Formulas!$K$31:$L$34,2,FALSE)</f>
        <v>0.6</v>
      </c>
      <c r="AQ23" s="219">
        <f ca="1" t="shared" si="9"/>
        <v>1.556557897</v>
      </c>
      <c r="AR23" s="230" t="e">
        <f>VLOOKUP(AR$1,Formulas!$F$47:$G$55,2,FALSE)*($E23+AN23+AO23)</f>
        <v>#REF!</v>
      </c>
      <c r="AS23" s="219">
        <f ca="1" t="shared" si="10"/>
        <v>0.7782789486</v>
      </c>
      <c r="AT23" s="219">
        <f ca="1" t="shared" si="11"/>
        <v>7.782789486</v>
      </c>
      <c r="AU23" s="225">
        <f ca="1">VLOOKUP(AU$1,Formulas!$I$31:$J$39,2,FALSE)*AT23</f>
        <v>5292.29685</v>
      </c>
      <c r="AV23" s="226">
        <v>4500</v>
      </c>
      <c r="AW23" s="226" t="s">
        <v>283</v>
      </c>
      <c r="AY23" s="219" t="e">
        <f t="array" ref="AY23">INDEX(Formulas!$R$24:$W$64,MATCH($B23,Formulas!$Q$24:$Q$64,0),MATCH(AY$1,Formulas!$R$23:$W$23,0))</f>
        <v>#REF!</v>
      </c>
      <c r="AZ23" s="219">
        <f t="array" ref="AZ23">INDEX(Formulas!$G$24:$O$27,MATCH($C23,Formulas!$F$24:$F$27,0),MATCH(AZ$1,Formulas!$G$23:$O$23,0))*45</f>
        <v>0.6075</v>
      </c>
      <c r="BA23" s="219">
        <f>VLOOKUP($C23,Formulas!$K$31:$L$34,2,FALSE)</f>
        <v>0.6</v>
      </c>
      <c r="BB23" s="219">
        <f ca="1" t="shared" si="12"/>
        <v>1.4903896</v>
      </c>
      <c r="BC23" s="230" t="e">
        <f>VLOOKUP(BC$1,Formulas!$F$47:$G$55,2,FALSE)*($E23+AY23+AZ23)</f>
        <v>#REF!</v>
      </c>
      <c r="BD23" s="219">
        <f ca="1" t="shared" si="13"/>
        <v>0.7451948</v>
      </c>
      <c r="BE23" s="219">
        <f ca="1" t="shared" si="14"/>
        <v>7.451948</v>
      </c>
      <c r="BF23" s="225">
        <f ca="1">VLOOKUP(BF$1,Formulas!$I$31:$J$39,2,FALSE)*BE23</f>
        <v>5067.32464</v>
      </c>
      <c r="BG23" s="226">
        <v>4500</v>
      </c>
      <c r="BH23" s="226" t="s">
        <v>283</v>
      </c>
      <c r="BJ23" s="219" t="e">
        <f t="array" ref="BJ23">INDEX(Formulas!$R$24:$W$64,MATCH($B23,Formulas!$Q$24:$Q$64,0),MATCH(BJ$1,Formulas!$R$23:$W$23,0))</f>
        <v>#REF!</v>
      </c>
      <c r="BK23" s="219">
        <f t="array" ref="BK23">INDEX(Formulas!$G$24:$O$27,MATCH($C23,Formulas!$F$24:$F$27,0),MATCH(BK$1,Formulas!$G$23:$O$23,0))*45</f>
        <v>0.6075</v>
      </c>
      <c r="BL23" s="219">
        <f>VLOOKUP($C23,Formulas!$K$31:$L$34,2,FALSE)</f>
        <v>0.6</v>
      </c>
      <c r="BM23" s="219">
        <f ca="1" t="shared" si="15"/>
        <v>1.444496457</v>
      </c>
      <c r="BN23" s="230" t="e">
        <f>VLOOKUP(BN$1,Formulas!$F$47:$G$55,2,FALSE)*($E23+BJ23+BK23)</f>
        <v>#REF!</v>
      </c>
      <c r="BO23" s="219">
        <f ca="1" t="shared" si="16"/>
        <v>0.7222482286</v>
      </c>
      <c r="BP23" s="219">
        <f ca="1" t="shared" si="17"/>
        <v>7.222482286</v>
      </c>
      <c r="BQ23" s="225">
        <f ca="1">VLOOKUP(BQ$1,Formulas!$I$31:$J$39,2,FALSE)*BP23</f>
        <v>90.28102857</v>
      </c>
      <c r="BR23" s="226">
        <v>105</v>
      </c>
      <c r="BS23" s="226" t="s">
        <v>283</v>
      </c>
      <c r="BT23" s="225"/>
    </row>
    <row r="24" ht="12.5" spans="2:72">
      <c r="B24" s="52" t="e">
        <f>#REF!</f>
        <v>#REF!</v>
      </c>
      <c r="C24" s="52" t="s">
        <v>3</v>
      </c>
      <c r="D24" s="218">
        <v>0.2</v>
      </c>
      <c r="E24" s="219" t="e">
        <f>#REF!</f>
        <v>#REF!</v>
      </c>
      <c r="G24" s="219" t="e">
        <f t="array" ref="G24">INDEX(Formulas!$R$24:$W$64,MATCH($B24,Formulas!$Q$24:$Q$64,0),MATCH(G$1,Formulas!$R$23:$W$23,0))</f>
        <v>#REF!</v>
      </c>
      <c r="H24" s="219">
        <f t="array" ref="H24">INDEX(Formulas!$G$24:$O$27,MATCH($C24,Formulas!$F$24:$F$27,0),MATCH(H$1,Formulas!$G$23:$O$23,0))*45</f>
        <v>0.31896</v>
      </c>
      <c r="I24" s="219">
        <f>VLOOKUP($C24,Formulas!$K$31:$L$34,2,FALSE)</f>
        <v>0.4</v>
      </c>
      <c r="J24" s="219">
        <f ca="1" t="shared" si="0"/>
        <v>0.9152755143</v>
      </c>
      <c r="K24" s="219" t="e">
        <f>VLOOKUP(K$1,Formulas!$F$47:$G$55,2,FALSE)*($E24+G24+H24)</f>
        <v>#REF!</v>
      </c>
      <c r="L24" s="219">
        <f ca="1" t="shared" si="1"/>
        <v>0.4576377571</v>
      </c>
      <c r="M24" s="219">
        <f ca="1" t="shared" si="2"/>
        <v>4.576377571</v>
      </c>
      <c r="N24" s="225">
        <f ca="1">VLOOKUP(N$1,Formulas!$I$31:$J$39,2,FALSE)*M24</f>
        <v>4210.267366</v>
      </c>
      <c r="O24" s="226">
        <v>1700</v>
      </c>
      <c r="P24" s="226" t="s">
        <v>283</v>
      </c>
      <c r="R24" s="219" t="e">
        <f t="array" ref="R24">INDEX(Formulas!$R$24:$W$64,MATCH($B24,Formulas!$Q$24:$Q$64,0),MATCH(R$1,Formulas!$R$23:$W$23,0))</f>
        <v>#REF!</v>
      </c>
      <c r="S24" s="219">
        <f t="array" ref="S24">INDEX(Formulas!$G$24:$O$27,MATCH($C24,Formulas!$F$24:$F$27,0),MATCH(S$1,Formulas!$G$23:$O$23,0))*45</f>
        <v>0.227835</v>
      </c>
      <c r="T24" s="219">
        <f>VLOOKUP($C24,Formulas!$K$31:$L$34,2,FALSE)</f>
        <v>0.4</v>
      </c>
      <c r="U24" s="219">
        <f ca="1" t="shared" si="3"/>
        <v>0.991029338</v>
      </c>
      <c r="V24" s="230" t="e">
        <f>VLOOKUP(V$1,Formulas!$F$47:$G$55,2,FALSE)*($E24+R24+S24)</f>
        <v>#REF!</v>
      </c>
      <c r="W24" s="219">
        <f ca="1" t="shared" si="4"/>
        <v>0.495514669</v>
      </c>
      <c r="X24" s="219">
        <f ca="1" t="shared" si="5"/>
        <v>4.95514669</v>
      </c>
      <c r="Y24" s="225">
        <f ca="1">VLOOKUP(Y$1,Formulas!$I$31:$J$39,2,FALSE)*X24</f>
        <v>733.3617101</v>
      </c>
      <c r="Z24" s="226">
        <v>500</v>
      </c>
      <c r="AA24" s="226" t="s">
        <v>291</v>
      </c>
      <c r="AC24" s="219" t="e">
        <f t="array" ref="AC24">INDEX(Formulas!$R$24:$W$64,MATCH($B24,Formulas!$Q$24:$Q$64,0),MATCH(AC$1,Formulas!$R$23:$W$23,0))</f>
        <v>#REF!</v>
      </c>
      <c r="AD24" s="219">
        <f t="array" ref="AD24">INDEX(Formulas!$G$24:$O$27,MATCH($C24,Formulas!$F$24:$F$27,0),MATCH(AD$1,Formulas!$G$23:$O$23,0))*45</f>
        <v>0.227835</v>
      </c>
      <c r="AE24" s="219">
        <f>VLOOKUP($C24,Formulas!$K$31:$L$34,2,FALSE)</f>
        <v>0.4</v>
      </c>
      <c r="AF24" s="219">
        <f ca="1" t="shared" si="6"/>
        <v>1.350628829</v>
      </c>
      <c r="AG24" s="230" t="e">
        <f>VLOOKUP(AG$1,Formulas!$F$47:$G$55,2,FALSE)*($E24+AC24+AD24)</f>
        <v>#REF!</v>
      </c>
      <c r="AH24" s="219">
        <f ca="1" t="shared" si="7"/>
        <v>0.6753144143</v>
      </c>
      <c r="AI24" s="219">
        <f ca="1" t="shared" si="8"/>
        <v>6.753144143</v>
      </c>
      <c r="AJ24" s="225">
        <f ca="1">VLOOKUP(AJ$1,Formulas!$I$31:$J$39,2,FALSE)*AI24</f>
        <v>25661.94774</v>
      </c>
      <c r="AK24" s="226"/>
      <c r="AL24" s="226" t="s">
        <v>294</v>
      </c>
      <c r="AN24" s="219" t="e">
        <f t="array" ref="AN24">INDEX(Formulas!$R$24:$W$64,MATCH($B24,Formulas!$Q$24:$Q$64,0),MATCH(AN$1,Formulas!$R$23:$W$23,0))</f>
        <v>#REF!</v>
      </c>
      <c r="AO24" s="219">
        <f t="array" ref="AO24">INDEX(Formulas!$G$24:$O$27,MATCH($C24,Formulas!$F$24:$F$27,0),MATCH(AO$1,Formulas!$G$23:$O$23,0))*45</f>
        <v>0.31896</v>
      </c>
      <c r="AP24" s="219">
        <f>VLOOKUP($C24,Formulas!$K$31:$L$34,2,FALSE)</f>
        <v>0.4</v>
      </c>
      <c r="AQ24" s="219">
        <f ca="1" t="shared" si="9"/>
        <v>0.8882129589</v>
      </c>
      <c r="AR24" s="230" t="e">
        <f>VLOOKUP(AR$1,Formulas!$F$47:$G$55,2,FALSE)*($E24+AN24+AO24)</f>
        <v>#REF!</v>
      </c>
      <c r="AS24" s="219">
        <f ca="1" t="shared" si="10"/>
        <v>0.4441064794</v>
      </c>
      <c r="AT24" s="219">
        <f ca="1" t="shared" si="11"/>
        <v>4.441064794</v>
      </c>
      <c r="AU24" s="225">
        <f ca="1">VLOOKUP(AU$1,Formulas!$I$31:$J$39,2,FALSE)*AT24</f>
        <v>3019.92406</v>
      </c>
      <c r="AV24" s="226">
        <v>3000</v>
      </c>
      <c r="AW24" s="226" t="s">
        <v>299</v>
      </c>
      <c r="AY24" s="219" t="e">
        <f t="array" ref="AY24">INDEX(Formulas!$R$24:$W$64,MATCH($B24,Formulas!$Q$24:$Q$64,0),MATCH(AY$1,Formulas!$R$23:$W$23,0))</f>
        <v>#REF!</v>
      </c>
      <c r="AZ24" s="219">
        <f t="array" ref="AZ24">INDEX(Formulas!$G$24:$O$27,MATCH($C24,Formulas!$F$24:$F$27,0),MATCH(AZ$1,Formulas!$G$23:$O$23,0))*45</f>
        <v>0.227835</v>
      </c>
      <c r="BA24" s="219">
        <f>VLOOKUP($C24,Formulas!$K$31:$L$34,2,FALSE)</f>
        <v>0.4</v>
      </c>
      <c r="BB24" s="219">
        <f ca="1" t="shared" si="12"/>
        <v>0.8640779257</v>
      </c>
      <c r="BC24" s="230" t="e">
        <f>VLOOKUP(BC$1,Formulas!$F$47:$G$55,2,FALSE)*($E24+AY24+AZ24)</f>
        <v>#REF!</v>
      </c>
      <c r="BD24" s="219">
        <f ca="1" t="shared" si="13"/>
        <v>0.4320389629</v>
      </c>
      <c r="BE24" s="219">
        <f ca="1" t="shared" si="14"/>
        <v>4.320389629</v>
      </c>
      <c r="BF24" s="225">
        <f ca="1">VLOOKUP(BF$1,Formulas!$I$31:$J$39,2,FALSE)*BE24</f>
        <v>2937.864947</v>
      </c>
      <c r="BG24" s="226">
        <v>3000</v>
      </c>
      <c r="BH24" s="226" t="s">
        <v>299</v>
      </c>
      <c r="BJ24" s="219" t="e">
        <f t="array" ref="BJ24">INDEX(Formulas!$R$24:$W$64,MATCH($B24,Formulas!$Q$24:$Q$64,0),MATCH(BJ$1,Formulas!$R$23:$W$23,0))</f>
        <v>#REF!</v>
      </c>
      <c r="BK24" s="219">
        <f t="array" ref="BK24">INDEX(Formulas!$G$24:$O$27,MATCH($C24,Formulas!$F$24:$F$27,0),MATCH(BK$1,Formulas!$G$23:$O$23,0))*45</f>
        <v>0.227835</v>
      </c>
      <c r="BL24" s="219">
        <f>VLOOKUP($C24,Formulas!$K$31:$L$34,2,FALSE)</f>
        <v>0.4</v>
      </c>
      <c r="BM24" s="219">
        <f ca="1" t="shared" si="15"/>
        <v>0.8085924543</v>
      </c>
      <c r="BN24" s="230" t="e">
        <f>VLOOKUP(BN$1,Formulas!$F$47:$G$55,2,FALSE)*($E24+BJ24+BK24)</f>
        <v>#REF!</v>
      </c>
      <c r="BO24" s="219">
        <f ca="1" t="shared" si="16"/>
        <v>0.4042962271</v>
      </c>
      <c r="BP24" s="219">
        <f ca="1" t="shared" si="17"/>
        <v>4.042962271</v>
      </c>
      <c r="BQ24" s="225">
        <f ca="1">VLOOKUP(BQ$1,Formulas!$I$31:$J$39,2,FALSE)*BP24</f>
        <v>50.53702839</v>
      </c>
      <c r="BR24" s="226">
        <v>39</v>
      </c>
      <c r="BS24" s="226" t="s">
        <v>283</v>
      </c>
      <c r="BT24" s="225"/>
    </row>
    <row r="25" ht="12.5" spans="2:72">
      <c r="B25" s="52" t="e">
        <f>#REF!</f>
        <v>#REF!</v>
      </c>
      <c r="C25" s="52" t="s">
        <v>3</v>
      </c>
      <c r="D25" s="218">
        <v>0.15</v>
      </c>
      <c r="E25" s="219" t="e">
        <f>#REF!</f>
        <v>#REF!</v>
      </c>
      <c r="G25" s="219" t="e">
        <f t="array" ref="G25">INDEX(Formulas!$R$24:$W$64,MATCH($B25,Formulas!$Q$24:$Q$64,0),MATCH(G$1,Formulas!$R$23:$W$23,0))</f>
        <v>#REF!</v>
      </c>
      <c r="H25" s="219">
        <f t="array" ref="H25">INDEX(Formulas!$G$24:$O$27,MATCH($C25,Formulas!$F$24:$F$27,0),MATCH(H$1,Formulas!$G$23:$O$23,0))*45</f>
        <v>0.31896</v>
      </c>
      <c r="I25" s="219">
        <f>VLOOKUP($C25,Formulas!$K$31:$L$34,2,FALSE)</f>
        <v>0.4</v>
      </c>
      <c r="J25" s="219">
        <f ca="1" t="shared" si="0"/>
        <v>1.368332864</v>
      </c>
      <c r="K25" s="219" t="e">
        <f>VLOOKUP(K$1,Formulas!$F$47:$G$55,2,FALSE)*($E25+G25+H25)</f>
        <v>#REF!</v>
      </c>
      <c r="L25" s="219">
        <f ca="1" t="shared" si="1"/>
        <v>0.9122219093</v>
      </c>
      <c r="M25" s="219">
        <f ca="1" t="shared" si="2"/>
        <v>9.122219093</v>
      </c>
      <c r="N25" s="225">
        <f ca="1">VLOOKUP(N$1,Formulas!$I$31:$J$39,2,FALSE)*M25</f>
        <v>8392.441566</v>
      </c>
      <c r="O25" s="226">
        <v>6900</v>
      </c>
      <c r="P25" s="226" t="s">
        <v>283</v>
      </c>
      <c r="R25" s="219" t="e">
        <f t="array" ref="R25">INDEX(Formulas!$R$24:$W$64,MATCH($B25,Formulas!$Q$24:$Q$64,0),MATCH(R$1,Formulas!$R$23:$W$23,0))</f>
        <v>#REF!</v>
      </c>
      <c r="S25" s="219">
        <f t="array" ref="S25">INDEX(Formulas!$G$24:$O$27,MATCH($C25,Formulas!$F$24:$F$27,0),MATCH(S$1,Formulas!$G$23:$O$23,0))*45</f>
        <v>0.227835</v>
      </c>
      <c r="T25" s="219">
        <f>VLOOKUP($C25,Formulas!$K$31:$L$34,2,FALSE)</f>
        <v>0.4</v>
      </c>
      <c r="U25" s="219">
        <f ca="1" t="shared" si="3"/>
        <v>1.400701679</v>
      </c>
      <c r="V25" s="230" t="e">
        <f>VLOOKUP(V$1,Formulas!$F$47:$G$55,2,FALSE)*($E25+R25+S25)</f>
        <v>#REF!</v>
      </c>
      <c r="W25" s="219">
        <f ca="1" t="shared" si="4"/>
        <v>0.9338011193</v>
      </c>
      <c r="X25" s="219">
        <f ca="1" t="shared" si="5"/>
        <v>9.338011193</v>
      </c>
      <c r="Y25" s="225">
        <f ca="1">VLOOKUP(Y$1,Formulas!$I$31:$J$39,2,FALSE)*X25</f>
        <v>1382.025657</v>
      </c>
      <c r="Z25" s="226">
        <v>1200</v>
      </c>
      <c r="AA25" s="226" t="s">
        <v>291</v>
      </c>
      <c r="AC25" s="219" t="e">
        <f t="array" ref="AC25">INDEX(Formulas!$R$24:$W$64,MATCH($B25,Formulas!$Q$24:$Q$64,0),MATCH(AC$1,Formulas!$R$23:$W$23,0))</f>
        <v>#REF!</v>
      </c>
      <c r="AD25" s="219">
        <f t="array" ref="AD25">INDEX(Formulas!$G$24:$O$27,MATCH($C25,Formulas!$F$24:$F$27,0),MATCH(AD$1,Formulas!$G$23:$O$23,0))*45</f>
        <v>0.227835</v>
      </c>
      <c r="AE25" s="219">
        <f>VLOOKUP($C25,Formulas!$K$31:$L$34,2,FALSE)</f>
        <v>0.4</v>
      </c>
      <c r="AF25" s="219">
        <f ca="1" t="shared" si="6"/>
        <v>1.31126102</v>
      </c>
      <c r="AG25" s="230" t="e">
        <f>VLOOKUP(AG$1,Formulas!$F$47:$G$55,2,FALSE)*($E25+AC25+AD25)</f>
        <v>#REF!</v>
      </c>
      <c r="AH25" s="219">
        <f ca="1" t="shared" si="7"/>
        <v>0.8741740133</v>
      </c>
      <c r="AI25" s="219">
        <f ca="1" t="shared" si="8"/>
        <v>8.741740133</v>
      </c>
      <c r="AJ25" s="225">
        <f ca="1">VLOOKUP(AJ$1,Formulas!$I$31:$J$39,2,FALSE)*AI25</f>
        <v>33218.61251</v>
      </c>
      <c r="AK25" s="227">
        <v>90000</v>
      </c>
      <c r="AL25" s="226" t="s">
        <v>294</v>
      </c>
      <c r="AN25" s="219" t="e">
        <f t="array" ref="AN25">INDEX(Formulas!$R$24:$W$64,MATCH($B25,Formulas!$Q$24:$Q$64,0),MATCH(AN$1,Formulas!$R$23:$W$23,0))</f>
        <v>#REF!</v>
      </c>
      <c r="AO25" s="219">
        <f t="array" ref="AO25">INDEX(Formulas!$G$24:$O$27,MATCH($C25,Formulas!$F$24:$F$27,0),MATCH(AO$1,Formulas!$G$23:$O$23,0))*45</f>
        <v>0.31896</v>
      </c>
      <c r="AP25" s="219">
        <f>VLOOKUP($C25,Formulas!$K$31:$L$34,2,FALSE)</f>
        <v>0.4</v>
      </c>
      <c r="AQ25" s="219">
        <f ca="1" t="shared" si="9"/>
        <v>1.321141184</v>
      </c>
      <c r="AR25" s="230" t="e">
        <f>VLOOKUP(AR$1,Formulas!$F$47:$G$55,2,FALSE)*($E25+AN25+AO25)</f>
        <v>#REF!</v>
      </c>
      <c r="AS25" s="219">
        <f ca="1" t="shared" si="10"/>
        <v>0.8807607893</v>
      </c>
      <c r="AT25" s="219">
        <f ca="1" t="shared" si="11"/>
        <v>8.807607893</v>
      </c>
      <c r="AU25" s="225">
        <f ca="1">VLOOKUP(AU$1,Formulas!$I$31:$J$39,2,FALSE)*AT25</f>
        <v>5989.173367</v>
      </c>
      <c r="AV25" s="226">
        <v>5900</v>
      </c>
      <c r="AW25" s="226" t="s">
        <v>283</v>
      </c>
      <c r="AY25" s="219" t="e">
        <f t="array" ref="AY25">INDEX(Formulas!$R$24:$W$64,MATCH($B25,Formulas!$Q$24:$Q$64,0),MATCH(AY$1,Formulas!$R$23:$W$23,0))</f>
        <v>#REF!</v>
      </c>
      <c r="AZ25" s="219">
        <f t="array" ref="AZ25">INDEX(Formulas!$G$24:$O$27,MATCH($C25,Formulas!$F$24:$F$27,0),MATCH(AZ$1,Formulas!$G$23:$O$23,0))*45</f>
        <v>0.227835</v>
      </c>
      <c r="BA25" s="219">
        <f>VLOOKUP($C25,Formulas!$K$31:$L$34,2,FALSE)</f>
        <v>0.4</v>
      </c>
      <c r="BB25" s="219">
        <f ca="1" t="shared" si="12"/>
        <v>1.31126102</v>
      </c>
      <c r="BC25" s="230" t="e">
        <f>VLOOKUP(BC$1,Formulas!$F$47:$G$55,2,FALSE)*($E25+AY25+AZ25)</f>
        <v>#REF!</v>
      </c>
      <c r="BD25" s="219">
        <f ca="1" t="shared" si="13"/>
        <v>0.8741740133</v>
      </c>
      <c r="BE25" s="219">
        <f ca="1" t="shared" si="14"/>
        <v>8.741740133</v>
      </c>
      <c r="BF25" s="225">
        <f ca="1">VLOOKUP(BF$1,Formulas!$I$31:$J$39,2,FALSE)*BE25</f>
        <v>5944.383291</v>
      </c>
      <c r="BG25" s="226">
        <v>5900</v>
      </c>
      <c r="BH25" s="226" t="s">
        <v>283</v>
      </c>
      <c r="BJ25" s="219" t="e">
        <f t="array" ref="BJ25">INDEX(Formulas!$R$24:$W$64,MATCH($B25,Formulas!$Q$24:$Q$64,0),MATCH(BJ$1,Formulas!$R$23:$W$23,0))</f>
        <v>#REF!</v>
      </c>
      <c r="BK25" s="219">
        <f t="array" ref="BK25">INDEX(Formulas!$G$24:$O$27,MATCH($C25,Formulas!$F$24:$F$27,0),MATCH(BK$1,Formulas!$G$23:$O$23,0))*45</f>
        <v>0.227835</v>
      </c>
      <c r="BL25" s="219">
        <f>VLOOKUP($C25,Formulas!$K$31:$L$34,2,FALSE)</f>
        <v>0.4</v>
      </c>
      <c r="BM25" s="219">
        <f ca="1" t="shared" si="15"/>
        <v>1.398378545</v>
      </c>
      <c r="BN25" s="230" t="e">
        <f>VLOOKUP(BN$1,Formulas!$F$47:$G$55,2,FALSE)*($E25+BJ25+BK25)</f>
        <v>#REF!</v>
      </c>
      <c r="BO25" s="219">
        <f ca="1" t="shared" si="16"/>
        <v>0.9322523633</v>
      </c>
      <c r="BP25" s="219">
        <f ca="1" t="shared" si="17"/>
        <v>9.322523633</v>
      </c>
      <c r="BQ25" s="225">
        <f ca="1">VLOOKUP(BQ$1,Formulas!$I$31:$J$39,2,FALSE)*BP25</f>
        <v>116.5315454</v>
      </c>
      <c r="BR25" s="226">
        <v>145</v>
      </c>
      <c r="BS25" s="226" t="s">
        <v>283</v>
      </c>
      <c r="BT25" s="225"/>
    </row>
    <row r="26" ht="12.5" spans="2:72">
      <c r="B26" s="52" t="e">
        <f>#REF!</f>
        <v>#REF!</v>
      </c>
      <c r="C26" s="52" t="s">
        <v>3</v>
      </c>
      <c r="D26" s="218">
        <v>0.15</v>
      </c>
      <c r="E26" s="219" t="e">
        <f>#REF!</f>
        <v>#REF!</v>
      </c>
      <c r="G26" s="219" t="e">
        <f t="array" ref="G26">INDEX(Formulas!$R$24:$W$64,MATCH($B26,Formulas!$Q$24:$Q$64,0),MATCH(G$1,Formulas!$R$23:$W$23,0))</f>
        <v>#REF!</v>
      </c>
      <c r="H26" s="219">
        <f t="array" ref="H26">INDEX(Formulas!$G$24:$O$27,MATCH($C26,Formulas!$F$24:$F$27,0),MATCH(H$1,Formulas!$G$23:$O$23,0))*45</f>
        <v>0.31896</v>
      </c>
      <c r="I26" s="219">
        <f>VLOOKUP($C26,Formulas!$K$31:$L$34,2,FALSE)</f>
        <v>0.4</v>
      </c>
      <c r="J26" s="219">
        <f ca="1" t="shared" si="0"/>
        <v>0.817964864</v>
      </c>
      <c r="K26" s="219" t="e">
        <f>VLOOKUP(K$1,Formulas!$F$47:$G$55,2,FALSE)*($E26+G26+H26)</f>
        <v>#REF!</v>
      </c>
      <c r="L26" s="219">
        <f ca="1" t="shared" si="1"/>
        <v>0.5453099093</v>
      </c>
      <c r="M26" s="219">
        <f ca="1" t="shared" si="2"/>
        <v>5.453099093</v>
      </c>
      <c r="N26" s="225">
        <f ca="1">VLOOKUP(N$1,Formulas!$I$31:$J$39,2,FALSE)*M26</f>
        <v>5016.851166</v>
      </c>
      <c r="O26" s="226">
        <v>4300</v>
      </c>
      <c r="P26" s="226" t="s">
        <v>283</v>
      </c>
      <c r="R26" s="219" t="e">
        <f t="array" ref="R26">INDEX(Formulas!$R$24:$W$64,MATCH($B26,Formulas!$Q$24:$Q$64,0),MATCH(R$1,Formulas!$R$23:$W$23,0))</f>
        <v>#REF!</v>
      </c>
      <c r="S26" s="219">
        <f t="array" ref="S26">INDEX(Formulas!$G$24:$O$27,MATCH($C26,Formulas!$F$24:$F$27,0),MATCH(S$1,Formulas!$G$23:$O$23,0))*45</f>
        <v>0.227835</v>
      </c>
      <c r="T26" s="219">
        <f>VLOOKUP($C26,Formulas!$K$31:$L$34,2,FALSE)</f>
        <v>0.4</v>
      </c>
      <c r="U26" s="219">
        <f ca="1" t="shared" si="3"/>
        <v>0.827653679</v>
      </c>
      <c r="V26" s="230" t="e">
        <f>VLOOKUP(V$1,Formulas!$F$47:$G$55,2,FALSE)*($E26+R26+S26)</f>
        <v>#REF!</v>
      </c>
      <c r="W26" s="219">
        <f ca="1" t="shared" si="4"/>
        <v>0.5517691193</v>
      </c>
      <c r="X26" s="219">
        <f ca="1" t="shared" si="5"/>
        <v>5.517691193</v>
      </c>
      <c r="Y26" s="225">
        <f ca="1">VLOOKUP(Y$1,Formulas!$I$31:$J$39,2,FALSE)*X26</f>
        <v>816.6182966</v>
      </c>
      <c r="Z26" s="226">
        <v>709</v>
      </c>
      <c r="AA26" s="226" t="s">
        <v>291</v>
      </c>
      <c r="AC26" s="219" t="e">
        <f t="array" ref="AC26">INDEX(Formulas!$R$24:$W$64,MATCH($B26,Formulas!$Q$24:$Q$64,0),MATCH(AC$1,Formulas!$R$23:$W$23,0))</f>
        <v>#REF!</v>
      </c>
      <c r="AD26" s="219">
        <f t="array" ref="AD26">INDEX(Formulas!$G$24:$O$27,MATCH($C26,Formulas!$F$24:$F$27,0),MATCH(AD$1,Formulas!$G$23:$O$23,0))*45</f>
        <v>0.227835</v>
      </c>
      <c r="AE26" s="219">
        <f>VLOOKUP($C26,Formulas!$K$31:$L$34,2,FALSE)</f>
        <v>0.4</v>
      </c>
      <c r="AF26" s="219">
        <f ca="1" t="shared" si="6"/>
        <v>0.77702102</v>
      </c>
      <c r="AG26" s="230" t="e">
        <f>VLOOKUP(AG$1,Formulas!$F$47:$G$55,2,FALSE)*($E26+AC26+AD26)</f>
        <v>#REF!</v>
      </c>
      <c r="AH26" s="219">
        <f ca="1" t="shared" si="7"/>
        <v>0.5180140133</v>
      </c>
      <c r="AI26" s="219">
        <f ca="1" t="shared" si="8"/>
        <v>5.180140133</v>
      </c>
      <c r="AJ26" s="225">
        <f ca="1">VLOOKUP(AJ$1,Formulas!$I$31:$J$39,2,FALSE)*AI26</f>
        <v>19684.53251</v>
      </c>
      <c r="AK26" s="227">
        <v>45000</v>
      </c>
      <c r="AL26" s="226" t="s">
        <v>294</v>
      </c>
      <c r="AN26" s="219" t="e">
        <f t="array" ref="AN26">INDEX(Formulas!$R$24:$W$64,MATCH($B26,Formulas!$Q$24:$Q$64,0),MATCH(AN$1,Formulas!$R$23:$W$23,0))</f>
        <v>#REF!</v>
      </c>
      <c r="AO26" s="219">
        <f t="array" ref="AO26">INDEX(Formulas!$G$24:$O$27,MATCH($C26,Formulas!$F$24:$F$27,0),MATCH(AO$1,Formulas!$G$23:$O$23,0))*45</f>
        <v>0.31896</v>
      </c>
      <c r="AP26" s="219">
        <f>VLOOKUP($C26,Formulas!$K$31:$L$34,2,FALSE)</f>
        <v>0.4</v>
      </c>
      <c r="AQ26" s="219">
        <f ca="1" t="shared" si="9"/>
        <v>0.790933184</v>
      </c>
      <c r="AR26" s="230" t="e">
        <f>VLOOKUP(AR$1,Formulas!$F$47:$G$55,2,FALSE)*($E26+AN26+AO26)</f>
        <v>#REF!</v>
      </c>
      <c r="AS26" s="219">
        <f ca="1" t="shared" si="10"/>
        <v>0.5272887893</v>
      </c>
      <c r="AT26" s="219">
        <f ca="1" t="shared" si="11"/>
        <v>5.272887893</v>
      </c>
      <c r="AU26" s="225">
        <f ca="1">VLOOKUP(AU$1,Formulas!$I$31:$J$39,2,FALSE)*AT26</f>
        <v>3585.563767</v>
      </c>
      <c r="AV26" s="226">
        <v>3900</v>
      </c>
      <c r="AW26" s="226" t="s">
        <v>283</v>
      </c>
      <c r="AY26" s="219" t="e">
        <f t="array" ref="AY26">INDEX(Formulas!$R$24:$W$64,MATCH($B26,Formulas!$Q$24:$Q$64,0),MATCH(AY$1,Formulas!$R$23:$W$23,0))</f>
        <v>#REF!</v>
      </c>
      <c r="AZ26" s="219">
        <f t="array" ref="AZ26">INDEX(Formulas!$G$24:$O$27,MATCH($C26,Formulas!$F$24:$F$27,0),MATCH(AZ$1,Formulas!$G$23:$O$23,0))*45</f>
        <v>0.227835</v>
      </c>
      <c r="BA26" s="219">
        <f>VLOOKUP($C26,Formulas!$K$31:$L$34,2,FALSE)</f>
        <v>0.4</v>
      </c>
      <c r="BB26" s="219">
        <f ca="1" t="shared" si="12"/>
        <v>0.77702102</v>
      </c>
      <c r="BC26" s="230" t="e">
        <f>VLOOKUP(BC$1,Formulas!$F$47:$G$55,2,FALSE)*($E26+AY26+AZ26)</f>
        <v>#REF!</v>
      </c>
      <c r="BD26" s="219">
        <f ca="1" t="shared" si="13"/>
        <v>0.5180140133</v>
      </c>
      <c r="BE26" s="219">
        <f ca="1" t="shared" si="14"/>
        <v>5.180140133</v>
      </c>
      <c r="BF26" s="225">
        <f ca="1">VLOOKUP(BF$1,Formulas!$I$31:$J$39,2,FALSE)*BE26</f>
        <v>3522.495291</v>
      </c>
      <c r="BG26" s="226">
        <v>3900</v>
      </c>
      <c r="BH26" s="226" t="s">
        <v>283</v>
      </c>
      <c r="BJ26" s="219" t="e">
        <f t="array" ref="BJ26">INDEX(Formulas!$R$24:$W$64,MATCH($B26,Formulas!$Q$24:$Q$64,0),MATCH(BJ$1,Formulas!$R$23:$W$23,0))</f>
        <v>#REF!</v>
      </c>
      <c r="BK26" s="219">
        <f t="array" ref="BK26">INDEX(Formulas!$G$24:$O$27,MATCH($C26,Formulas!$F$24:$F$27,0),MATCH(BK$1,Formulas!$G$23:$O$23,0))*45</f>
        <v>0.227835</v>
      </c>
      <c r="BL26" s="219">
        <f>VLOOKUP($C26,Formulas!$K$31:$L$34,2,FALSE)</f>
        <v>0.4</v>
      </c>
      <c r="BM26" s="219">
        <f ca="1" t="shared" si="15"/>
        <v>0.826338545</v>
      </c>
      <c r="BN26" s="230" t="e">
        <f>VLOOKUP(BN$1,Formulas!$F$47:$G$55,2,FALSE)*($E26+BJ26+BK26)</f>
        <v>#REF!</v>
      </c>
      <c r="BO26" s="219">
        <f ca="1" t="shared" si="16"/>
        <v>0.5508923633</v>
      </c>
      <c r="BP26" s="219">
        <f ca="1" t="shared" si="17"/>
        <v>5.508923633</v>
      </c>
      <c r="BQ26" s="225">
        <f ca="1">VLOOKUP(BQ$1,Formulas!$I$31:$J$39,2,FALSE)*BP26</f>
        <v>68.86154542</v>
      </c>
      <c r="BR26" s="226">
        <v>75</v>
      </c>
      <c r="BS26" s="226" t="s">
        <v>283</v>
      </c>
      <c r="BT26" s="225"/>
    </row>
    <row r="27" ht="12.5" spans="2:72">
      <c r="B27" s="52" t="e">
        <f>#REF!</f>
        <v>#REF!</v>
      </c>
      <c r="C27" s="52" t="s">
        <v>298</v>
      </c>
      <c r="D27" s="218">
        <v>0.15</v>
      </c>
      <c r="E27" s="219" t="e">
        <f>#REF!</f>
        <v>#REF!</v>
      </c>
      <c r="G27" s="219" t="e">
        <f t="array" ref="G27">INDEX(Formulas!$R$24:$W$64,MATCH($B27,Formulas!$Q$24:$Q$64,0),MATCH(G$1,Formulas!$R$23:$W$23,0))</f>
        <v>#REF!</v>
      </c>
      <c r="H27" s="219">
        <f t="array" ref="H27">INDEX(Formulas!$G$24:$O$27,MATCH($C27,Formulas!$F$24:$F$27,0),MATCH(H$1,Formulas!$G$23:$O$23,0))*45</f>
        <v>0.091125</v>
      </c>
      <c r="I27" s="219">
        <f>VLOOKUP($C27,Formulas!$K$31:$L$34,2,FALSE)</f>
        <v>0.4</v>
      </c>
      <c r="J27" s="219">
        <f ca="1" t="shared" si="0"/>
        <v>0.6271402664</v>
      </c>
      <c r="K27" s="219" t="e">
        <f>VLOOKUP(K$1,Formulas!$F$47:$G$55,2,FALSE)*($E27+G27+H27)</f>
        <v>#REF!</v>
      </c>
      <c r="L27" s="219">
        <f ca="1" t="shared" si="1"/>
        <v>0.4180935109</v>
      </c>
      <c r="M27" s="219">
        <f ca="1" t="shared" si="2"/>
        <v>4.180935109</v>
      </c>
      <c r="N27" s="225">
        <f ca="1">VLOOKUP(N$1,Formulas!$I$31:$J$39,2,FALSE)*M27</f>
        <v>3846.460301</v>
      </c>
      <c r="O27" s="226">
        <v>2500</v>
      </c>
      <c r="P27" s="226" t="s">
        <v>283</v>
      </c>
      <c r="R27" s="219" t="e">
        <f t="array" ref="R27">INDEX(Formulas!$R$24:$W$64,MATCH($B27,Formulas!$Q$24:$Q$64,0),MATCH(R$1,Formulas!$R$23:$W$23,0))</f>
        <v>#REF!</v>
      </c>
      <c r="S27" s="219">
        <f t="array" ref="S27">INDEX(Formulas!$G$24:$O$27,MATCH($C27,Formulas!$F$24:$F$27,0),MATCH(S$1,Formulas!$G$23:$O$23,0))*45</f>
        <v>0.091125</v>
      </c>
      <c r="T27" s="219">
        <f>VLOOKUP($C27,Formulas!$K$31:$L$34,2,FALSE)</f>
        <v>0.4</v>
      </c>
      <c r="U27" s="219">
        <f ca="1" t="shared" si="3"/>
        <v>0.6600807088</v>
      </c>
      <c r="V27" s="230" t="e">
        <f>VLOOKUP(V$1,Formulas!$F$47:$G$55,2,FALSE)*($E27+R27+S27)</f>
        <v>#REF!</v>
      </c>
      <c r="W27" s="219">
        <f ca="1" t="shared" si="4"/>
        <v>0.4400538059</v>
      </c>
      <c r="X27" s="219">
        <f ca="1" t="shared" si="5"/>
        <v>4.400538059</v>
      </c>
      <c r="Y27" s="225">
        <f ca="1">VLOOKUP(Y$1,Formulas!$I$31:$J$39,2,FALSE)*X27</f>
        <v>651.2796327</v>
      </c>
      <c r="Z27" s="226">
        <v>628</v>
      </c>
      <c r="AA27" s="226" t="s">
        <v>291</v>
      </c>
      <c r="AC27" s="219" t="e">
        <f t="array" ref="AC27">INDEX(Formulas!$R$24:$W$64,MATCH($B27,Formulas!$Q$24:$Q$64,0),MATCH(AC$1,Formulas!$R$23:$W$23,0))</f>
        <v>#REF!</v>
      </c>
      <c r="AD27" s="219">
        <f t="array" ref="AD27">INDEX(Formulas!$G$24:$O$27,MATCH($C27,Formulas!$F$24:$F$27,0),MATCH(AD$1,Formulas!$G$23:$O$23,0))*45</f>
        <v>0.091125</v>
      </c>
      <c r="AE27" s="219">
        <f>VLOOKUP($C27,Formulas!$K$31:$L$34,2,FALSE)</f>
        <v>0.4</v>
      </c>
      <c r="AF27" s="219">
        <f ca="1" t="shared" si="6"/>
        <v>0.680985444</v>
      </c>
      <c r="AG27" s="230" t="e">
        <f>VLOOKUP(AG$1,Formulas!$F$47:$G$55,2,FALSE)*($E27+AC27+AD27)</f>
        <v>#REF!</v>
      </c>
      <c r="AH27" s="219">
        <f ca="1" t="shared" si="7"/>
        <v>0.453990296</v>
      </c>
      <c r="AI27" s="219">
        <f ca="1" t="shared" si="8"/>
        <v>4.53990296</v>
      </c>
      <c r="AJ27" s="225">
        <f ca="1">VLOOKUP(AJ$1,Formulas!$I$31:$J$39,2,FALSE)*AI27</f>
        <v>17251.63125</v>
      </c>
      <c r="AK27" s="226"/>
      <c r="AL27" s="226" t="s">
        <v>294</v>
      </c>
      <c r="AN27" s="219" t="e">
        <f t="array" ref="AN27">INDEX(Formulas!$R$24:$W$64,MATCH($B27,Formulas!$Q$24:$Q$64,0),MATCH(AN$1,Formulas!$R$23:$W$23,0))</f>
        <v>#REF!</v>
      </c>
      <c r="AO27" s="219">
        <f t="array" ref="AO27">INDEX(Formulas!$G$24:$O$27,MATCH($C27,Formulas!$F$24:$F$27,0),MATCH(AO$1,Formulas!$G$23:$O$23,0))*45</f>
        <v>0.091125</v>
      </c>
      <c r="AP27" s="219">
        <f>VLOOKUP($C27,Formulas!$K$31:$L$34,2,FALSE)</f>
        <v>0.4</v>
      </c>
      <c r="AQ27" s="219">
        <f ca="1" t="shared" si="9"/>
        <v>0.6074257125</v>
      </c>
      <c r="AR27" s="230" t="e">
        <f>VLOOKUP(AR$1,Formulas!$F$47:$G$55,2,FALSE)*($E27+AN27+AO27)</f>
        <v>#REF!</v>
      </c>
      <c r="AS27" s="219">
        <f ca="1" t="shared" si="10"/>
        <v>0.404950475</v>
      </c>
      <c r="AT27" s="219">
        <f ca="1" t="shared" si="11"/>
        <v>4.04950475</v>
      </c>
      <c r="AU27" s="225">
        <f ca="1">VLOOKUP(AU$1,Formulas!$I$31:$J$39,2,FALSE)*AT27</f>
        <v>2753.66323</v>
      </c>
      <c r="AV27" s="226">
        <v>2500</v>
      </c>
      <c r="AW27" s="226" t="s">
        <v>283</v>
      </c>
      <c r="AY27" s="219" t="e">
        <f t="array" ref="AY27">INDEX(Formulas!$R$24:$W$64,MATCH($B27,Formulas!$Q$24:$Q$64,0),MATCH(AY$1,Formulas!$R$23:$W$23,0))</f>
        <v>#REF!</v>
      </c>
      <c r="AZ27" s="219">
        <f t="array" ref="AZ27">INDEX(Formulas!$G$24:$O$27,MATCH($C27,Formulas!$F$24:$F$27,0),MATCH(AZ$1,Formulas!$G$23:$O$23,0))*45</f>
        <v>0.091125</v>
      </c>
      <c r="BA27" s="219">
        <f>VLOOKUP($C27,Formulas!$K$31:$L$34,2,FALSE)</f>
        <v>0.4</v>
      </c>
      <c r="BB27" s="219">
        <f ca="1" t="shared" si="12"/>
        <v>0.6110885352</v>
      </c>
      <c r="BC27" s="230" t="e">
        <f>VLOOKUP(BC$1,Formulas!$F$47:$G$55,2,FALSE)*($E27+AY27+AZ27)</f>
        <v>#REF!</v>
      </c>
      <c r="BD27" s="219">
        <f ca="1" t="shared" si="13"/>
        <v>0.4073923568</v>
      </c>
      <c r="BE27" s="219">
        <f ca="1" t="shared" si="14"/>
        <v>4.073923568</v>
      </c>
      <c r="BF27" s="225">
        <f ca="1">VLOOKUP(BF$1,Formulas!$I$31:$J$39,2,FALSE)*BE27</f>
        <v>2770.268026</v>
      </c>
      <c r="BG27" s="226">
        <v>2500</v>
      </c>
      <c r="BH27" s="226" t="s">
        <v>283</v>
      </c>
      <c r="BJ27" s="219" t="e">
        <f t="array" ref="BJ27">INDEX(Formulas!$R$24:$W$64,MATCH($B27,Formulas!$Q$24:$Q$64,0),MATCH(BJ$1,Formulas!$R$23:$W$23,0))</f>
        <v>#REF!</v>
      </c>
      <c r="BK27" s="219">
        <f t="array" ref="BK27">INDEX(Formulas!$G$24:$O$27,MATCH($C27,Formulas!$F$24:$F$27,0),MATCH(BK$1,Formulas!$G$23:$O$23,0))*45</f>
        <v>0.091125</v>
      </c>
      <c r="BL27" s="219">
        <f>VLOOKUP($C27,Formulas!$K$31:$L$34,2,FALSE)</f>
        <v>0.4</v>
      </c>
      <c r="BM27" s="219">
        <f ca="1" t="shared" si="15"/>
        <v>0.6330733782</v>
      </c>
      <c r="BN27" s="230" t="e">
        <f>VLOOKUP(BN$1,Formulas!$F$47:$G$55,2,FALSE)*($E27+BJ27+BK27)</f>
        <v>#REF!</v>
      </c>
      <c r="BO27" s="219">
        <f ca="1" t="shared" si="16"/>
        <v>0.4220489188</v>
      </c>
      <c r="BP27" s="219">
        <f ca="1" t="shared" si="17"/>
        <v>4.220489188</v>
      </c>
      <c r="BQ27" s="225">
        <f ca="1">VLOOKUP(BQ$1,Formulas!$I$31:$J$39,2,FALSE)*BP27</f>
        <v>52.75611485</v>
      </c>
      <c r="BR27" s="226">
        <v>45</v>
      </c>
      <c r="BS27" s="226" t="s">
        <v>283</v>
      </c>
      <c r="BT27" s="225"/>
    </row>
    <row r="28" ht="12.5" spans="2:72">
      <c r="B28" s="52" t="e">
        <f>#REF!</f>
        <v>#REF!</v>
      </c>
      <c r="C28" s="52" t="s">
        <v>298</v>
      </c>
      <c r="D28" s="218">
        <v>0.15</v>
      </c>
      <c r="E28" s="219" t="e">
        <f>#REF!</f>
        <v>#REF!</v>
      </c>
      <c r="G28" s="219" t="e">
        <f t="array" ref="G28">INDEX(Formulas!$R$24:$W$64,MATCH($B28,Formulas!$Q$24:$Q$64,0),MATCH(G$1,Formulas!$R$23:$W$23,0))</f>
        <v>#REF!</v>
      </c>
      <c r="H28" s="219">
        <f t="array" ref="H28">INDEX(Formulas!$G$24:$O$27,MATCH($C28,Formulas!$F$24:$F$27,0),MATCH(H$1,Formulas!$G$23:$O$23,0))*45</f>
        <v>0.091125</v>
      </c>
      <c r="I28" s="219">
        <f>VLOOKUP($C28,Formulas!$K$31:$L$34,2,FALSE)</f>
        <v>0.4</v>
      </c>
      <c r="J28" s="219">
        <f ca="1" t="shared" si="0"/>
        <v>0.6402442664</v>
      </c>
      <c r="K28" s="219" t="e">
        <f>VLOOKUP(K$1,Formulas!$F$47:$G$55,2,FALSE)*($E28+G28+H28)</f>
        <v>#REF!</v>
      </c>
      <c r="L28" s="219">
        <f ca="1" t="shared" si="1"/>
        <v>0.4268295109</v>
      </c>
      <c r="M28" s="219">
        <f ca="1" t="shared" si="2"/>
        <v>4.268295109</v>
      </c>
      <c r="N28" s="225">
        <f ca="1">VLOOKUP(N$1,Formulas!$I$31:$J$39,2,FALSE)*M28</f>
        <v>3926.831501</v>
      </c>
      <c r="O28" s="226">
        <v>3900</v>
      </c>
      <c r="P28" s="226" t="s">
        <v>283</v>
      </c>
      <c r="R28" s="219" t="e">
        <f t="array" ref="R28">INDEX(Formulas!$R$24:$W$64,MATCH($B28,Formulas!$Q$24:$Q$64,0),MATCH(R$1,Formulas!$R$23:$W$23,0))</f>
        <v>#REF!</v>
      </c>
      <c r="S28" s="219">
        <f t="array" ref="S28">INDEX(Formulas!$G$24:$O$27,MATCH($C28,Formulas!$F$24:$F$27,0),MATCH(S$1,Formulas!$G$23:$O$23,0))*45</f>
        <v>0.091125</v>
      </c>
      <c r="T28" s="219">
        <f>VLOOKUP($C28,Formulas!$K$31:$L$34,2,FALSE)</f>
        <v>0.4</v>
      </c>
      <c r="U28" s="219">
        <f ca="1" t="shared" si="3"/>
        <v>0.6737247088</v>
      </c>
      <c r="V28" s="230" t="e">
        <f>VLOOKUP(V$1,Formulas!$F$47:$G$55,2,FALSE)*($E28+R28+S28)</f>
        <v>#REF!</v>
      </c>
      <c r="W28" s="219">
        <f ca="1" t="shared" si="4"/>
        <v>0.4491498059</v>
      </c>
      <c r="X28" s="219">
        <f ca="1" t="shared" si="5"/>
        <v>4.491498059</v>
      </c>
      <c r="Y28" s="225">
        <f ca="1">VLOOKUP(Y$1,Formulas!$I$31:$J$39,2,FALSE)*X28</f>
        <v>664.7417127</v>
      </c>
      <c r="Z28" s="226">
        <v>740</v>
      </c>
      <c r="AA28" s="226" t="s">
        <v>283</v>
      </c>
      <c r="AC28" s="219" t="e">
        <f t="array" ref="AC28">INDEX(Formulas!$R$24:$W$64,MATCH($B28,Formulas!$Q$24:$Q$64,0),MATCH(AC$1,Formulas!$R$23:$W$23,0))</f>
        <v>#REF!</v>
      </c>
      <c r="AD28" s="219">
        <f t="array" ref="AD28">INDEX(Formulas!$G$24:$O$27,MATCH($C28,Formulas!$F$24:$F$27,0),MATCH(AD$1,Formulas!$G$23:$O$23,0))*45</f>
        <v>0.091125</v>
      </c>
      <c r="AE28" s="219">
        <f>VLOOKUP($C28,Formulas!$K$31:$L$34,2,FALSE)</f>
        <v>0.4</v>
      </c>
      <c r="AF28" s="219">
        <f ca="1" t="shared" si="6"/>
        <v>0.693705444</v>
      </c>
      <c r="AG28" s="230" t="e">
        <f>VLOOKUP(AG$1,Formulas!$F$47:$G$55,2,FALSE)*($E28+AC28+AD28)</f>
        <v>#REF!</v>
      </c>
      <c r="AH28" s="219">
        <f ca="1" t="shared" si="7"/>
        <v>0.462470296</v>
      </c>
      <c r="AI28" s="219">
        <f ca="1" t="shared" si="8"/>
        <v>4.62470296</v>
      </c>
      <c r="AJ28" s="225">
        <f ca="1">VLOOKUP(AJ$1,Formulas!$I$31:$J$39,2,FALSE)*AI28</f>
        <v>17573.87125</v>
      </c>
      <c r="AK28" s="226"/>
      <c r="AL28" s="226" t="s">
        <v>294</v>
      </c>
      <c r="AN28" s="219" t="e">
        <f t="array" ref="AN28">INDEX(Formulas!$R$24:$W$64,MATCH($B28,Formulas!$Q$24:$Q$64,0),MATCH(AN$1,Formulas!$R$23:$W$23,0))</f>
        <v>#REF!</v>
      </c>
      <c r="AO28" s="219">
        <f t="array" ref="AO28">INDEX(Formulas!$G$24:$O$27,MATCH($C28,Formulas!$F$24:$F$27,0),MATCH(AO$1,Formulas!$G$23:$O$23,0))*45</f>
        <v>0.091125</v>
      </c>
      <c r="AP28" s="219">
        <f>VLOOKUP($C28,Formulas!$K$31:$L$34,2,FALSE)</f>
        <v>0.4</v>
      </c>
      <c r="AQ28" s="219">
        <f ca="1" t="shared" si="9"/>
        <v>0.6200497125</v>
      </c>
      <c r="AR28" s="230" t="e">
        <f>VLOOKUP(AR$1,Formulas!$F$47:$G$55,2,FALSE)*($E28+AN28+AO28)</f>
        <v>#REF!</v>
      </c>
      <c r="AS28" s="219">
        <f ca="1" t="shared" si="10"/>
        <v>0.413366475</v>
      </c>
      <c r="AT28" s="219">
        <f ca="1" t="shared" si="11"/>
        <v>4.13366475</v>
      </c>
      <c r="AU28" s="225">
        <f ca="1">VLOOKUP(AU$1,Formulas!$I$31:$J$39,2,FALSE)*AT28</f>
        <v>2810.89203</v>
      </c>
      <c r="AV28" s="226">
        <v>2900</v>
      </c>
      <c r="AW28" s="226" t="s">
        <v>283</v>
      </c>
      <c r="AY28" s="219" t="e">
        <f t="array" ref="AY28">INDEX(Formulas!$R$24:$W$64,MATCH($B28,Formulas!$Q$24:$Q$64,0),MATCH(AY$1,Formulas!$R$23:$W$23,0))</f>
        <v>#REF!</v>
      </c>
      <c r="AZ28" s="219">
        <f t="array" ref="AZ28">INDEX(Formulas!$G$24:$O$27,MATCH($C28,Formulas!$F$24:$F$27,0),MATCH(AZ$1,Formulas!$G$23:$O$23,0))*45</f>
        <v>0.091125</v>
      </c>
      <c r="BA28" s="219">
        <f>VLOOKUP($C28,Formulas!$K$31:$L$34,2,FALSE)</f>
        <v>0.4</v>
      </c>
      <c r="BB28" s="219">
        <f ca="1" t="shared" si="12"/>
        <v>0.6238085352</v>
      </c>
      <c r="BC28" s="230" t="e">
        <f>VLOOKUP(BC$1,Formulas!$F$47:$G$55,2,FALSE)*($E28+AY28+AZ28)</f>
        <v>#REF!</v>
      </c>
      <c r="BD28" s="219">
        <f ca="1" t="shared" si="13"/>
        <v>0.4158723568</v>
      </c>
      <c r="BE28" s="219">
        <f ca="1" t="shared" si="14"/>
        <v>4.158723568</v>
      </c>
      <c r="BF28" s="225">
        <f ca="1">VLOOKUP(BF$1,Formulas!$I$31:$J$39,2,FALSE)*BE28</f>
        <v>2827.932026</v>
      </c>
      <c r="BG28" s="226">
        <v>2900</v>
      </c>
      <c r="BH28" s="226" t="s">
        <v>283</v>
      </c>
      <c r="BJ28" s="219" t="e">
        <f t="array" ref="BJ28">INDEX(Formulas!$R$24:$W$64,MATCH($B28,Formulas!$Q$24:$Q$64,0),MATCH(BJ$1,Formulas!$R$23:$W$23,0))</f>
        <v>#REF!</v>
      </c>
      <c r="BK28" s="219">
        <f t="array" ref="BK28">INDEX(Formulas!$G$24:$O$27,MATCH($C28,Formulas!$F$24:$F$27,0),MATCH(BK$1,Formulas!$G$23:$O$23,0))*45</f>
        <v>0.091125</v>
      </c>
      <c r="BL28" s="219">
        <f>VLOOKUP($C28,Formulas!$K$31:$L$34,2,FALSE)</f>
        <v>0.4</v>
      </c>
      <c r="BM28" s="219">
        <f ca="1" t="shared" si="15"/>
        <v>0.6466933782</v>
      </c>
      <c r="BN28" s="230" t="e">
        <f>VLOOKUP(BN$1,Formulas!$F$47:$G$55,2,FALSE)*($E28+BJ28+BK28)</f>
        <v>#REF!</v>
      </c>
      <c r="BO28" s="219">
        <f ca="1" t="shared" si="16"/>
        <v>0.4311289188</v>
      </c>
      <c r="BP28" s="219">
        <f ca="1" t="shared" si="17"/>
        <v>4.311289188</v>
      </c>
      <c r="BQ28" s="225">
        <f ca="1">VLOOKUP(BQ$1,Formulas!$I$31:$J$39,2,FALSE)*BP28</f>
        <v>53.89111485</v>
      </c>
      <c r="BR28" s="226">
        <v>68</v>
      </c>
      <c r="BS28" s="226" t="s">
        <v>291</v>
      </c>
      <c r="BT28" s="225"/>
    </row>
    <row r="29" ht="12.5" spans="2:72">
      <c r="B29" s="52" t="e">
        <f>#REF!</f>
        <v>#REF!</v>
      </c>
      <c r="C29" s="52" t="s">
        <v>298</v>
      </c>
      <c r="D29" s="218">
        <v>0.15</v>
      </c>
      <c r="E29" s="219" t="e">
        <f>#REF!</f>
        <v>#REF!</v>
      </c>
      <c r="G29" s="219" t="e">
        <f t="array" ref="G29">INDEX(Formulas!$R$24:$W$64,MATCH($B29,Formulas!$Q$24:$Q$64,0),MATCH(G$1,Formulas!$R$23:$W$23,0))</f>
        <v>#REF!</v>
      </c>
      <c r="H29" s="219">
        <f t="array" ref="H29">INDEX(Formulas!$G$24:$O$27,MATCH($C29,Formulas!$F$24:$F$27,0),MATCH(H$1,Formulas!$G$23:$O$23,0))*45</f>
        <v>0.091125</v>
      </c>
      <c r="I29" s="219">
        <f>VLOOKUP($C29,Formulas!$K$31:$L$34,2,FALSE)</f>
        <v>0.4</v>
      </c>
      <c r="J29" s="219">
        <f ca="1" t="shared" si="0"/>
        <v>0.5896110656</v>
      </c>
      <c r="K29" s="219" t="e">
        <f>VLOOKUP(K$1,Formulas!$F$47:$G$55,2,FALSE)*($E29+G29+H29)</f>
        <v>#REF!</v>
      </c>
      <c r="L29" s="219">
        <f ca="1" t="shared" si="1"/>
        <v>0.3930740437</v>
      </c>
      <c r="M29" s="219">
        <f ca="1" t="shared" si="2"/>
        <v>3.930740437</v>
      </c>
      <c r="N29" s="225">
        <f ca="1">VLOOKUP(N$1,Formulas!$I$31:$J$39,2,FALSE)*M29</f>
        <v>3616.281202</v>
      </c>
      <c r="O29" s="226">
        <v>2000</v>
      </c>
      <c r="P29" s="226" t="s">
        <v>283</v>
      </c>
      <c r="R29" s="219" t="e">
        <f t="array" ref="R29">INDEX(Formulas!$R$24:$W$64,MATCH($B29,Formulas!$Q$24:$Q$64,0),MATCH(R$1,Formulas!$R$23:$W$23,0))</f>
        <v>#REF!</v>
      </c>
      <c r="S29" s="219">
        <f t="array" ref="S29">INDEX(Formulas!$G$24:$O$27,MATCH($C29,Formulas!$F$24:$F$27,0),MATCH(S$1,Formulas!$G$23:$O$23,0))*45</f>
        <v>0.091125</v>
      </c>
      <c r="T29" s="219">
        <f>VLOOKUP($C29,Formulas!$K$31:$L$34,2,FALSE)</f>
        <v>0.4</v>
      </c>
      <c r="U29" s="219">
        <f ca="1" t="shared" si="3"/>
        <v>0.6191043204</v>
      </c>
      <c r="V29" s="230" t="e">
        <f>VLOOKUP(V$1,Formulas!$F$47:$G$55,2,FALSE)*($E29+R29+S29)</f>
        <v>#REF!</v>
      </c>
      <c r="W29" s="219">
        <f ca="1" t="shared" si="4"/>
        <v>0.4127362136</v>
      </c>
      <c r="X29" s="219">
        <f ca="1" t="shared" si="5"/>
        <v>4.127362136</v>
      </c>
      <c r="Y29" s="225">
        <f ca="1">VLOOKUP(Y$1,Formulas!$I$31:$J$39,2,FALSE)*X29</f>
        <v>610.8495961</v>
      </c>
      <c r="Z29" s="226"/>
      <c r="AA29" s="226" t="s">
        <v>283</v>
      </c>
      <c r="AC29" s="219" t="e">
        <f t="array" ref="AC29">INDEX(Formulas!$R$24:$W$64,MATCH($B29,Formulas!$Q$24:$Q$64,0),MATCH(AC$1,Formulas!$R$23:$W$23,0))</f>
        <v>#REF!</v>
      </c>
      <c r="AD29" s="219">
        <f t="array" ref="AD29">INDEX(Formulas!$G$24:$O$27,MATCH($C29,Formulas!$F$24:$F$27,0),MATCH(AD$1,Formulas!$G$23:$O$23,0))*45</f>
        <v>0.091125</v>
      </c>
      <c r="AE29" s="219">
        <f>VLOOKUP($C29,Formulas!$K$31:$L$34,2,FALSE)</f>
        <v>0.4</v>
      </c>
      <c r="AF29" s="219">
        <f ca="1" t="shared" si="6"/>
        <v>0.631777276</v>
      </c>
      <c r="AG29" s="230" t="e">
        <f>VLOOKUP(AG$1,Formulas!$F$47:$G$55,2,FALSE)*($E29+AC29+AD29)</f>
        <v>#REF!</v>
      </c>
      <c r="AH29" s="219">
        <f ca="1" t="shared" si="7"/>
        <v>0.4211848507</v>
      </c>
      <c r="AI29" s="219">
        <f ca="1" t="shared" si="8"/>
        <v>4.211848507</v>
      </c>
      <c r="AJ29" s="225">
        <f ca="1">VLOOKUP(AJ$1,Formulas!$I$31:$J$39,2,FALSE)*AI29</f>
        <v>16005.02433</v>
      </c>
      <c r="AK29" s="226"/>
      <c r="AL29" s="226" t="s">
        <v>294</v>
      </c>
      <c r="AN29" s="219" t="e">
        <f t="array" ref="AN29">INDEX(Formulas!$R$24:$W$64,MATCH($B29,Formulas!$Q$24:$Q$64,0),MATCH(AN$1,Formulas!$R$23:$W$23,0))</f>
        <v>#REF!</v>
      </c>
      <c r="AO29" s="219">
        <f t="array" ref="AO29">INDEX(Formulas!$G$24:$O$27,MATCH($C29,Formulas!$F$24:$F$27,0),MATCH(AO$1,Formulas!$G$23:$O$23,0))*45</f>
        <v>0.091125</v>
      </c>
      <c r="AP29" s="219">
        <f>VLOOKUP($C29,Formulas!$K$31:$L$34,2,FALSE)</f>
        <v>0.4</v>
      </c>
      <c r="AQ29" s="219">
        <f ca="1" t="shared" si="9"/>
        <v>0.5712113699</v>
      </c>
      <c r="AR29" s="230" t="e">
        <f>VLOOKUP(AR$1,Formulas!$F$47:$G$55,2,FALSE)*($E29+AN29+AO29)</f>
        <v>#REF!</v>
      </c>
      <c r="AS29" s="219">
        <f ca="1" t="shared" si="10"/>
        <v>0.3808075799</v>
      </c>
      <c r="AT29" s="219">
        <f ca="1" t="shared" si="11"/>
        <v>3.808075799</v>
      </c>
      <c r="AU29" s="225">
        <f ca="1">VLOOKUP(AU$1,Formulas!$I$31:$J$39,2,FALSE)*AT29</f>
        <v>2589.491544</v>
      </c>
      <c r="AV29" s="226">
        <v>2900</v>
      </c>
      <c r="AW29" s="226" t="s">
        <v>283</v>
      </c>
      <c r="AY29" s="219" t="e">
        <f t="array" ref="AY29">INDEX(Formulas!$R$24:$W$64,MATCH($B29,Formulas!$Q$24:$Q$64,0),MATCH(AY$1,Formulas!$R$23:$W$23,0))</f>
        <v>#REF!</v>
      </c>
      <c r="AZ29" s="219">
        <f t="array" ref="AZ29">INDEX(Formulas!$G$24:$O$27,MATCH($C29,Formulas!$F$24:$F$27,0),MATCH(AZ$1,Formulas!$G$23:$O$23,0))*45</f>
        <v>0.091125</v>
      </c>
      <c r="BA29" s="219">
        <f>VLOOKUP($C29,Formulas!$K$31:$L$34,2,FALSE)</f>
        <v>0.4</v>
      </c>
      <c r="BB29" s="219">
        <f ca="1" t="shared" si="12"/>
        <v>0.5746624408</v>
      </c>
      <c r="BC29" s="230" t="e">
        <f>VLOOKUP(BC$1,Formulas!$F$47:$G$55,2,FALSE)*($E29+AY29+AZ29)</f>
        <v>#REF!</v>
      </c>
      <c r="BD29" s="219">
        <f ca="1" t="shared" si="13"/>
        <v>0.3831082939</v>
      </c>
      <c r="BE29" s="219">
        <f ca="1" t="shared" si="14"/>
        <v>3.831082939</v>
      </c>
      <c r="BF29" s="225">
        <f ca="1">VLOOKUP(BF$1,Formulas!$I$31:$J$39,2,FALSE)*BE29</f>
        <v>2605.136398</v>
      </c>
      <c r="BG29" s="226">
        <v>2900</v>
      </c>
      <c r="BH29" s="226" t="s">
        <v>283</v>
      </c>
      <c r="BJ29" s="219" t="e">
        <f t="array" ref="BJ29">INDEX(Formulas!$R$24:$W$64,MATCH($B29,Formulas!$Q$24:$Q$64,0),MATCH(BJ$1,Formulas!$R$23:$W$23,0))</f>
        <v>#REF!</v>
      </c>
      <c r="BK29" s="219">
        <f t="array" ref="BK29">INDEX(Formulas!$G$24:$O$27,MATCH($C29,Formulas!$F$24:$F$27,0),MATCH(BK$1,Formulas!$G$23:$O$23,0))*45</f>
        <v>0.091125</v>
      </c>
      <c r="BL29" s="219">
        <f>VLOOKUP($C29,Formulas!$K$31:$L$34,2,FALSE)</f>
        <v>0.4</v>
      </c>
      <c r="BM29" s="219">
        <f ca="1" t="shared" si="15"/>
        <v>0.5969213128</v>
      </c>
      <c r="BN29" s="230" t="e">
        <f>VLOOKUP(BN$1,Formulas!$F$47:$G$55,2,FALSE)*($E29+BJ29+BK29)</f>
        <v>#REF!</v>
      </c>
      <c r="BO29" s="219">
        <f ca="1" t="shared" si="16"/>
        <v>0.3979475419</v>
      </c>
      <c r="BP29" s="219">
        <f ca="1" t="shared" si="17"/>
        <v>3.979475419</v>
      </c>
      <c r="BQ29" s="225">
        <f ca="1">VLOOKUP(BQ$1,Formulas!$I$31:$J$39,2,FALSE)*BP29</f>
        <v>49.74344273</v>
      </c>
      <c r="BR29" s="226">
        <v>35</v>
      </c>
      <c r="BS29" s="226" t="s">
        <v>283</v>
      </c>
      <c r="BT29" s="225"/>
    </row>
    <row r="30" ht="12.5" spans="1:72">
      <c r="A30" s="220"/>
      <c r="B30" s="220" t="e">
        <f>#REF!</f>
        <v>#REF!</v>
      </c>
      <c r="C30" s="220" t="s">
        <v>298</v>
      </c>
      <c r="D30" s="221">
        <v>0.15</v>
      </c>
      <c r="E30" s="222" t="e">
        <f>#REF!</f>
        <v>#REF!</v>
      </c>
      <c r="F30" s="220"/>
      <c r="G30" s="222" t="e">
        <f t="array" ref="G30">INDEX(Formulas!$R$24:$W$64,MATCH($B30,Formulas!$Q$24:$Q$64,0),MATCH(G$1,Formulas!$R$23:$W$23,0))</f>
        <v>#REF!</v>
      </c>
      <c r="H30" s="222">
        <f t="array" ref="H30">INDEX(Formulas!$G$24:$O$27,MATCH($C30,Formulas!$F$24:$F$27,0),MATCH(H$1,Formulas!$G$23:$O$23,0))*45</f>
        <v>0.091125</v>
      </c>
      <c r="I30" s="222">
        <f>VLOOKUP($C30,Formulas!$K$31:$L$34,2,FALSE)</f>
        <v>0.4</v>
      </c>
      <c r="J30" s="222">
        <f ca="1" t="shared" si="0"/>
        <v>0.5017469329</v>
      </c>
      <c r="K30" s="219" t="e">
        <f>VLOOKUP(K$1,Formulas!$F$47:$G$55,2,FALSE)*($E30+G30+H30)</f>
        <v>#REF!</v>
      </c>
      <c r="L30" s="222">
        <f ca="1" t="shared" si="1"/>
        <v>0.3344979553</v>
      </c>
      <c r="M30" s="222">
        <f ca="1" t="shared" si="2"/>
        <v>3.344979553</v>
      </c>
      <c r="N30" s="228">
        <f ca="1">VLOOKUP(N$1,Formulas!$I$31:$J$39,2,FALSE)*M30</f>
        <v>3077.381188</v>
      </c>
      <c r="O30" s="226">
        <v>2500</v>
      </c>
      <c r="P30" s="226" t="s">
        <v>283</v>
      </c>
      <c r="Q30" s="220"/>
      <c r="R30" s="222" t="e">
        <f t="array" ref="R30">INDEX(Formulas!$R$24:$W$64,MATCH($B30,Formulas!$Q$24:$Q$64,0),MATCH(R$1,Formulas!$R$23:$W$23,0))</f>
        <v>#REF!</v>
      </c>
      <c r="S30" s="222">
        <f t="array" ref="S30">INDEX(Formulas!$G$24:$O$27,MATCH($C30,Formulas!$F$24:$F$27,0),MATCH(S$1,Formulas!$G$23:$O$23,0))*45</f>
        <v>0.091125</v>
      </c>
      <c r="T30" s="222">
        <f>VLOOKUP($C30,Formulas!$K$31:$L$34,2,FALSE)</f>
        <v>0.4</v>
      </c>
      <c r="U30" s="222">
        <f ca="1" t="shared" si="3"/>
        <v>0.5286755995</v>
      </c>
      <c r="V30" s="230" t="e">
        <f>VLOOKUP(V$1,Formulas!$F$47:$G$55,2,FALSE)*($E30+R30+S30)</f>
        <v>#REF!</v>
      </c>
      <c r="W30" s="222">
        <f ca="1" t="shared" si="4"/>
        <v>0.3524503997</v>
      </c>
      <c r="X30" s="222">
        <f ca="1" t="shared" si="5"/>
        <v>3.524503997</v>
      </c>
      <c r="Y30" s="228">
        <f ca="1">VLOOKUP(Y$1,Formulas!$I$31:$J$39,2,FALSE)*X30</f>
        <v>521.6265915</v>
      </c>
      <c r="Z30" s="226"/>
      <c r="AA30" s="226" t="s">
        <v>283</v>
      </c>
      <c r="AB30" s="220"/>
      <c r="AC30" s="222" t="e">
        <f t="array" ref="AC30">INDEX(Formulas!$R$24:$W$64,MATCH($B30,Formulas!$Q$24:$Q$64,0),MATCH(AC$1,Formulas!$R$23:$W$23,0))</f>
        <v>#REF!</v>
      </c>
      <c r="AD30" s="222">
        <f t="array" ref="AD30">INDEX(Formulas!$G$24:$O$27,MATCH($C30,Formulas!$F$24:$F$27,0),MATCH(AD$1,Formulas!$G$23:$O$23,0))*45</f>
        <v>0.091125</v>
      </c>
      <c r="AE30" s="222">
        <f>VLOOKUP($C30,Formulas!$K$31:$L$34,2,FALSE)</f>
        <v>0.4</v>
      </c>
      <c r="AF30" s="222">
        <f ca="1" t="shared" si="6"/>
        <v>0.5535890048</v>
      </c>
      <c r="AG30" s="230" t="e">
        <f>VLOOKUP(AG$1,Formulas!$F$47:$G$55,2,FALSE)*($E30+AC30+AD30)</f>
        <v>#REF!</v>
      </c>
      <c r="AH30" s="222">
        <f ca="1" t="shared" si="7"/>
        <v>0.3690593365</v>
      </c>
      <c r="AI30" s="222">
        <f ca="1" t="shared" si="8"/>
        <v>3.690593365</v>
      </c>
      <c r="AJ30" s="228">
        <f ca="1">VLOOKUP(AJ$1,Formulas!$I$31:$J$39,2,FALSE)*AI30</f>
        <v>14024.25479</v>
      </c>
      <c r="AK30" s="226"/>
      <c r="AL30" s="226" t="s">
        <v>294</v>
      </c>
      <c r="AM30" s="220"/>
      <c r="AN30" s="222" t="e">
        <f t="array" ref="AN30">INDEX(Formulas!$R$24:$W$64,MATCH($B30,Formulas!$Q$24:$Q$64,0),MATCH(AN$1,Formulas!$R$23:$W$23,0))</f>
        <v>#REF!</v>
      </c>
      <c r="AO30" s="222">
        <f t="array" ref="AO30">INDEX(Formulas!$G$24:$O$27,MATCH($C30,Formulas!$F$24:$F$27,0),MATCH(AO$1,Formulas!$G$23:$O$23,0))*45</f>
        <v>0.091125</v>
      </c>
      <c r="AP30" s="222">
        <f>VLOOKUP($C30,Formulas!$K$31:$L$34,2,FALSE)</f>
        <v>0.4</v>
      </c>
      <c r="AQ30" s="222">
        <f ca="1" t="shared" si="9"/>
        <v>0.4865989552</v>
      </c>
      <c r="AR30" s="230" t="e">
        <f>VLOOKUP(AR$1,Formulas!$F$47:$G$55,2,FALSE)*($E30+AN30+AO30)</f>
        <v>#REF!</v>
      </c>
      <c r="AS30" s="222">
        <f ca="1" t="shared" si="10"/>
        <v>0.3243993035</v>
      </c>
      <c r="AT30" s="222">
        <f ca="1" t="shared" si="11"/>
        <v>3.243993035</v>
      </c>
      <c r="AU30" s="228">
        <f ca="1">VLOOKUP(AU$1,Formulas!$I$31:$J$39,2,FALSE)*AT30</f>
        <v>2205.915264</v>
      </c>
      <c r="AV30" s="226">
        <v>2500</v>
      </c>
      <c r="AW30" s="226" t="s">
        <v>283</v>
      </c>
      <c r="AX30" s="220"/>
      <c r="AY30" s="222" t="e">
        <f t="array" ref="AY30">INDEX(Formulas!$R$24:$W$64,MATCH($B30,Formulas!$Q$24:$Q$64,0),MATCH(AY$1,Formulas!$R$23:$W$23,0))</f>
        <v>#REF!</v>
      </c>
      <c r="AZ30" s="222">
        <f t="array" ref="AZ30">INDEX(Formulas!$G$24:$O$27,MATCH($C30,Formulas!$F$24:$F$27,0),MATCH(AZ$1,Formulas!$G$23:$O$23,0))*45</f>
        <v>0.091125</v>
      </c>
      <c r="BA30" s="222">
        <f>VLOOKUP($C30,Formulas!$K$31:$L$34,2,FALSE)</f>
        <v>0.4</v>
      </c>
      <c r="BB30" s="222">
        <f ca="1" t="shared" si="12"/>
        <v>0.4893712198</v>
      </c>
      <c r="BC30" s="230" t="e">
        <f>VLOOKUP(BC$1,Formulas!$F$47:$G$55,2,FALSE)*($E30+AY30+AZ30)</f>
        <v>#REF!</v>
      </c>
      <c r="BD30" s="222">
        <f ca="1" t="shared" si="13"/>
        <v>0.3262474799</v>
      </c>
      <c r="BE30" s="222">
        <f ca="1" t="shared" si="14"/>
        <v>3.262474799</v>
      </c>
      <c r="BF30" s="228">
        <f ca="1">VLOOKUP(BF$1,Formulas!$I$31:$J$39,2,FALSE)*BE30</f>
        <v>2218.482863</v>
      </c>
      <c r="BG30" s="226">
        <v>2500</v>
      </c>
      <c r="BH30" s="226" t="s">
        <v>283</v>
      </c>
      <c r="BI30" s="220"/>
      <c r="BJ30" s="222" t="e">
        <f t="array" ref="BJ30">INDEX(Formulas!$R$24:$W$64,MATCH($B30,Formulas!$Q$24:$Q$64,0),MATCH(BJ$1,Formulas!$R$23:$W$23,0))</f>
        <v>#REF!</v>
      </c>
      <c r="BK30" s="222">
        <f t="array" ref="BK30">INDEX(Formulas!$G$24:$O$27,MATCH($C30,Formulas!$F$24:$F$27,0),MATCH(BK$1,Formulas!$G$23:$O$23,0))*45</f>
        <v>0.091125</v>
      </c>
      <c r="BL30" s="222">
        <f>VLOOKUP($C30,Formulas!$K$31:$L$34,2,FALSE)</f>
        <v>0.4</v>
      </c>
      <c r="BM30" s="222">
        <f ca="1" t="shared" si="15"/>
        <v>0.5040108529</v>
      </c>
      <c r="BN30" s="230" t="e">
        <f>VLOOKUP(BN$1,Formulas!$F$47:$G$55,2,FALSE)*($E30+BJ30+BK30)</f>
        <v>#REF!</v>
      </c>
      <c r="BO30" s="222">
        <f ca="1" t="shared" si="16"/>
        <v>0.3360072353</v>
      </c>
      <c r="BP30" s="222">
        <f ca="1" t="shared" si="17"/>
        <v>3.360072353</v>
      </c>
      <c r="BQ30" s="228">
        <f ca="1">VLOOKUP(BQ$1,Formulas!$I$31:$J$39,2,FALSE)*BP30</f>
        <v>42.00090441</v>
      </c>
      <c r="BR30" s="226">
        <v>63</v>
      </c>
      <c r="BS30" s="226" t="s">
        <v>283</v>
      </c>
      <c r="BT30" s="228"/>
    </row>
    <row r="31" ht="12.5" spans="2:72">
      <c r="B31" s="52" t="e">
        <f>#REF!</f>
        <v>#REF!</v>
      </c>
      <c r="C31" s="52" t="s">
        <v>3</v>
      </c>
      <c r="D31" s="218">
        <v>0.15</v>
      </c>
      <c r="E31" s="219" t="e">
        <f>#REF!</f>
        <v>#REF!</v>
      </c>
      <c r="G31" s="219" t="e">
        <f t="array" ref="G31">INDEX(Formulas!$R$24:$W$64,MATCH($B31,Formulas!$Q$24:$Q$64,0),MATCH(G$1,Formulas!$R$23:$W$23,0))</f>
        <v>#REF!</v>
      </c>
      <c r="H31" s="219">
        <f t="array" ref="H31">INDEX(Formulas!$G$24:$O$27,MATCH($C31,Formulas!$F$24:$F$27,0),MATCH(H$1,Formulas!$G$23:$O$23,0))*45</f>
        <v>0.31896</v>
      </c>
      <c r="I31" s="219">
        <f>VLOOKUP($C31,Formulas!$K$31:$L$34,2,FALSE)</f>
        <v>0.4</v>
      </c>
      <c r="J31" s="219">
        <f ca="1" t="shared" si="0"/>
        <v>0.9986620352</v>
      </c>
      <c r="K31" s="219" t="e">
        <f>VLOOKUP(K$1,Formulas!$F$47:$G$55,2,FALSE)*($E31+G31+H31)</f>
        <v>#REF!</v>
      </c>
      <c r="L31" s="219">
        <f ca="1" t="shared" si="1"/>
        <v>0.6657746901</v>
      </c>
      <c r="M31" s="219">
        <f ca="1" t="shared" si="2"/>
        <v>6.657746901</v>
      </c>
      <c r="N31" s="225">
        <f ca="1">VLOOKUP(N$1,Formulas!$I$31:$J$39,2,FALSE)*M31</f>
        <v>6125.127149</v>
      </c>
      <c r="O31" s="226">
        <v>3500</v>
      </c>
      <c r="P31" s="226" t="s">
        <v>283</v>
      </c>
      <c r="R31" s="219" t="e">
        <f t="array" ref="R31">INDEX(Formulas!$R$24:$W$64,MATCH($B31,Formulas!$Q$24:$Q$64,0),MATCH(R$1,Formulas!$R$23:$W$23,0))</f>
        <v>#REF!</v>
      </c>
      <c r="S31" s="219">
        <f t="array" ref="S31">INDEX(Formulas!$G$24:$O$27,MATCH($C31,Formulas!$F$24:$F$27,0),MATCH(S$1,Formulas!$G$23:$O$23,0))*45</f>
        <v>0.227835</v>
      </c>
      <c r="T31" s="219">
        <f>VLOOKUP($C31,Formulas!$K$31:$L$34,2,FALSE)</f>
        <v>0.4</v>
      </c>
      <c r="U31" s="219">
        <f ca="1" t="shared" si="3"/>
        <v>1.055638734</v>
      </c>
      <c r="V31" s="230" t="e">
        <f>VLOOKUP(V$1,Formulas!$F$47:$G$55,2,FALSE)*($E31+R31+S31)</f>
        <v>#REF!</v>
      </c>
      <c r="W31" s="219">
        <f ca="1" t="shared" si="4"/>
        <v>0.7037591558</v>
      </c>
      <c r="X31" s="219">
        <f ca="1" t="shared" si="5"/>
        <v>7.037591558</v>
      </c>
      <c r="Y31" s="225">
        <f ca="1">VLOOKUP(Y$1,Formulas!$I$31:$J$39,2,FALSE)*X31</f>
        <v>1041.563551</v>
      </c>
      <c r="Z31" s="226">
        <v>700</v>
      </c>
      <c r="AA31" s="226" t="s">
        <v>291</v>
      </c>
      <c r="AC31" s="219" t="e">
        <f t="array" ref="AC31">INDEX(Formulas!$R$24:$W$64,MATCH($B31,Formulas!$Q$24:$Q$64,0),MATCH(AC$1,Formulas!$R$23:$W$23,0))</f>
        <v>#REF!</v>
      </c>
      <c r="AD31" s="219">
        <f t="array" ref="AD31">INDEX(Formulas!$G$24:$O$27,MATCH($C31,Formulas!$F$24:$F$27,0),MATCH(AD$1,Formulas!$G$23:$O$23,0))*45</f>
        <v>0.227835</v>
      </c>
      <c r="AE31" s="219">
        <f>VLOOKUP($C31,Formulas!$K$31:$L$34,2,FALSE)</f>
        <v>0.4</v>
      </c>
      <c r="AF31" s="219">
        <f ca="1" t="shared" si="6"/>
        <v>1.220290972</v>
      </c>
      <c r="AG31" s="230" t="e">
        <f>VLOOKUP(AG$1,Formulas!$F$47:$G$55,2,FALSE)*($E31+AC31+AD31)</f>
        <v>#REF!</v>
      </c>
      <c r="AH31" s="219">
        <f ca="1" t="shared" si="7"/>
        <v>0.8135273147</v>
      </c>
      <c r="AI31" s="219">
        <f ca="1" t="shared" si="8"/>
        <v>8.135273147</v>
      </c>
      <c r="AJ31" s="225">
        <f ca="1">VLOOKUP(AJ$1,Formulas!$I$31:$J$39,2,FALSE)*AI31</f>
        <v>30914.03796</v>
      </c>
      <c r="AK31" s="226"/>
      <c r="AL31" s="226" t="s">
        <v>294</v>
      </c>
      <c r="AN31" s="219" t="e">
        <f t="array" ref="AN31">INDEX(Formulas!$R$24:$W$64,MATCH($B31,Formulas!$Q$24:$Q$64,0),MATCH(AN$1,Formulas!$R$23:$W$23,0))</f>
        <v>#REF!</v>
      </c>
      <c r="AO31" s="219">
        <f t="array" ref="AO31">INDEX(Formulas!$G$24:$O$27,MATCH($C31,Formulas!$F$24:$F$27,0),MATCH(AO$1,Formulas!$G$23:$O$23,0))*45</f>
        <v>0.31896</v>
      </c>
      <c r="AP31" s="219">
        <f>VLOOKUP($C31,Formulas!$K$31:$L$34,2,FALSE)</f>
        <v>0.4</v>
      </c>
      <c r="AQ31" s="219">
        <f ca="1" t="shared" si="9"/>
        <v>0.9662657318</v>
      </c>
      <c r="AR31" s="230" t="e">
        <f>VLOOKUP(AR$1,Formulas!$F$47:$G$55,2,FALSE)*($E31+AN31+AO31)</f>
        <v>#REF!</v>
      </c>
      <c r="AS31" s="219">
        <f ca="1" t="shared" si="10"/>
        <v>0.6441771546</v>
      </c>
      <c r="AT31" s="219">
        <f ca="1" t="shared" si="11"/>
        <v>6.441771546</v>
      </c>
      <c r="AU31" s="225">
        <f ca="1">VLOOKUP(AU$1,Formulas!$I$31:$J$39,2,FALSE)*AT31</f>
        <v>4380.404651</v>
      </c>
      <c r="AV31" s="226">
        <v>3900</v>
      </c>
      <c r="AW31" s="226" t="s">
        <v>283</v>
      </c>
      <c r="AY31" s="219" t="e">
        <f t="array" ref="AY31">INDEX(Formulas!$R$24:$W$64,MATCH($B31,Formulas!$Q$24:$Q$64,0),MATCH(AY$1,Formulas!$R$23:$W$23,0))</f>
        <v>#REF!</v>
      </c>
      <c r="AZ31" s="219">
        <f t="array" ref="AZ31">INDEX(Formulas!$G$24:$O$27,MATCH($C31,Formulas!$F$24:$F$27,0),MATCH(AZ$1,Formulas!$G$23:$O$23,0))*45</f>
        <v>0.227835</v>
      </c>
      <c r="BA31" s="219">
        <f>VLOOKUP($C31,Formulas!$K$31:$L$34,2,FALSE)</f>
        <v>0.4</v>
      </c>
      <c r="BB31" s="219">
        <f ca="1" t="shared" si="12"/>
        <v>0.9523528216</v>
      </c>
      <c r="BC31" s="230" t="e">
        <f>VLOOKUP(BC$1,Formulas!$F$47:$G$55,2,FALSE)*($E31+AY31+AZ31)</f>
        <v>#REF!</v>
      </c>
      <c r="BD31" s="219">
        <f ca="1" t="shared" si="13"/>
        <v>0.6349018811</v>
      </c>
      <c r="BE31" s="219">
        <f ca="1" t="shared" si="14"/>
        <v>6.349018811</v>
      </c>
      <c r="BF31" s="225">
        <f ca="1">VLOOKUP(BF$1,Formulas!$I$31:$J$39,2,FALSE)*BE31</f>
        <v>4317.332791</v>
      </c>
      <c r="BG31" s="226">
        <v>3900</v>
      </c>
      <c r="BH31" s="226" t="s">
        <v>283</v>
      </c>
      <c r="BJ31" s="219" t="e">
        <f t="array" ref="BJ31">INDEX(Formulas!$R$24:$W$64,MATCH($B31,Formulas!$Q$24:$Q$64,0),MATCH(BJ$1,Formulas!$R$23:$W$23,0))</f>
        <v>#REF!</v>
      </c>
      <c r="BK31" s="219">
        <f t="array" ref="BK31">INDEX(Formulas!$G$24:$O$27,MATCH($C31,Formulas!$F$24:$F$27,0),MATCH(BK$1,Formulas!$G$23:$O$23,0))*45</f>
        <v>0.227835</v>
      </c>
      <c r="BL31" s="219">
        <f>VLOOKUP($C31,Formulas!$K$31:$L$34,2,FALSE)</f>
        <v>0.4</v>
      </c>
      <c r="BM31" s="219">
        <f ca="1" t="shared" si="15"/>
        <v>0.9543058906</v>
      </c>
      <c r="BN31" s="230" t="e">
        <f>VLOOKUP(BN$1,Formulas!$F$47:$G$55,2,FALSE)*($E31+BJ31+BK31)</f>
        <v>#REF!</v>
      </c>
      <c r="BO31" s="219">
        <f ca="1" t="shared" si="16"/>
        <v>0.6362039271</v>
      </c>
      <c r="BP31" s="219">
        <f ca="1" t="shared" si="17"/>
        <v>6.362039271</v>
      </c>
      <c r="BQ31" s="225">
        <f ca="1">VLOOKUP(BQ$1,Formulas!$I$31:$J$39,2,FALSE)*BP31</f>
        <v>79.52549088</v>
      </c>
      <c r="BR31" s="226">
        <v>69</v>
      </c>
      <c r="BS31" s="226" t="s">
        <v>283</v>
      </c>
      <c r="BT31" s="225"/>
    </row>
    <row r="32" ht="12.5" spans="2:72">
      <c r="B32" s="52" t="e">
        <f>#REF!</f>
        <v>#REF!</v>
      </c>
      <c r="C32" s="52" t="s">
        <v>298</v>
      </c>
      <c r="D32" s="218">
        <v>0.15</v>
      </c>
      <c r="E32" s="219" t="e">
        <f>#REF!</f>
        <v>#REF!</v>
      </c>
      <c r="G32" s="219" t="e">
        <f t="array" ref="G32">INDEX(Formulas!$R$24:$W$64,MATCH($B32,Formulas!$Q$24:$Q$64,0),MATCH(G$1,Formulas!$R$23:$W$23,0))</f>
        <v>#REF!</v>
      </c>
      <c r="H32" s="219">
        <f t="array" ref="H32">INDEX(Formulas!$G$24:$O$27,MATCH($C32,Formulas!$F$24:$F$27,0),MATCH(H$1,Formulas!$G$23:$O$23,0))*45</f>
        <v>0.091125</v>
      </c>
      <c r="I32" s="219">
        <f>VLOOKUP($C32,Formulas!$K$31:$L$34,2,FALSE)</f>
        <v>0.4</v>
      </c>
      <c r="J32" s="219">
        <f ca="1" t="shared" si="0"/>
        <v>0.429004292</v>
      </c>
      <c r="K32" s="219" t="e">
        <f>VLOOKUP(K$1,Formulas!$F$47:$G$55,2,FALSE)*($E32+G32+H32)</f>
        <v>#REF!</v>
      </c>
      <c r="L32" s="219">
        <f ca="1" t="shared" si="1"/>
        <v>0.2860028613</v>
      </c>
      <c r="M32" s="219">
        <f ca="1" t="shared" si="2"/>
        <v>2.860028613</v>
      </c>
      <c r="N32" s="225">
        <f ca="1">VLOOKUP(N$1,Formulas!$I$31:$J$39,2,FALSE)*M32</f>
        <v>2631.226324</v>
      </c>
      <c r="O32" s="226">
        <v>3500</v>
      </c>
      <c r="P32" s="226" t="s">
        <v>283</v>
      </c>
      <c r="R32" s="219" t="e">
        <f t="array" ref="R32">INDEX(Formulas!$R$24:$W$64,MATCH($B32,Formulas!$Q$24:$Q$64,0),MATCH(R$1,Formulas!$R$23:$W$23,0))</f>
        <v>#REF!</v>
      </c>
      <c r="S32" s="219">
        <f t="array" ref="S32">INDEX(Formulas!$G$24:$O$27,MATCH($C32,Formulas!$F$24:$F$27,0),MATCH(S$1,Formulas!$G$23:$O$23,0))*45</f>
        <v>0.091125</v>
      </c>
      <c r="T32" s="219">
        <f>VLOOKUP($C32,Formulas!$K$31:$L$34,2,FALSE)</f>
        <v>0.4</v>
      </c>
      <c r="U32" s="219">
        <f ca="1" t="shared" si="3"/>
        <v>0.4664829002</v>
      </c>
      <c r="V32" s="230" t="e">
        <f>VLOOKUP(V$1,Formulas!$F$47:$G$55,2,FALSE)*($E32+R32+S32)</f>
        <v>#REF!</v>
      </c>
      <c r="W32" s="219">
        <f ca="1" t="shared" si="4"/>
        <v>0.3109886001</v>
      </c>
      <c r="X32" s="219">
        <f ca="1" t="shared" si="5"/>
        <v>3.109886001</v>
      </c>
      <c r="Y32" s="225">
        <f ca="1">VLOOKUP(Y$1,Formulas!$I$31:$J$39,2,FALSE)*X32</f>
        <v>460.2631282</v>
      </c>
      <c r="Z32" s="226"/>
      <c r="AA32" s="226" t="s">
        <v>283</v>
      </c>
      <c r="AC32" s="219" t="e">
        <f t="array" ref="AC32">INDEX(Formulas!$R$24:$W$64,MATCH($B32,Formulas!$Q$24:$Q$64,0),MATCH(AC$1,Formulas!$R$23:$W$23,0))</f>
        <v>#REF!</v>
      </c>
      <c r="AD32" s="219">
        <f t="array" ref="AD32">INDEX(Formulas!$G$24:$O$27,MATCH($C32,Formulas!$F$24:$F$27,0),MATCH(AD$1,Formulas!$G$23:$O$23,0))*45</f>
        <v>0.091125</v>
      </c>
      <c r="AE32" s="219">
        <f>VLOOKUP($C32,Formulas!$K$31:$L$34,2,FALSE)</f>
        <v>0.4</v>
      </c>
      <c r="AF32" s="219">
        <f ca="1" t="shared" si="6"/>
        <v>0.57406282</v>
      </c>
      <c r="AG32" s="230" t="e">
        <f>VLOOKUP(AG$1,Formulas!$F$47:$G$55,2,FALSE)*($E32+AC32+AD32)</f>
        <v>#REF!</v>
      </c>
      <c r="AH32" s="219">
        <f ca="1" t="shared" si="7"/>
        <v>0.3827085467</v>
      </c>
      <c r="AI32" s="219">
        <f ca="1" t="shared" si="8"/>
        <v>3.827085467</v>
      </c>
      <c r="AJ32" s="225">
        <f ca="1">VLOOKUP(AJ$1,Formulas!$I$31:$J$39,2,FALSE)*AI32</f>
        <v>14542.92477</v>
      </c>
      <c r="AK32" s="226"/>
      <c r="AL32" s="226" t="s">
        <v>294</v>
      </c>
      <c r="AN32" s="219" t="e">
        <f t="array" ref="AN32">INDEX(Formulas!$R$24:$W$64,MATCH($B32,Formulas!$Q$24:$Q$64,0),MATCH(AN$1,Formulas!$R$23:$W$23,0))</f>
        <v>#REF!</v>
      </c>
      <c r="AO32" s="219">
        <f t="array" ref="AO32">INDEX(Formulas!$G$24:$O$27,MATCH($C32,Formulas!$F$24:$F$27,0),MATCH(AO$1,Formulas!$G$23:$O$23,0))*45</f>
        <v>0.091125</v>
      </c>
      <c r="AP32" s="219">
        <f>VLOOKUP($C32,Formulas!$K$31:$L$34,2,FALSE)</f>
        <v>0.4</v>
      </c>
      <c r="AQ32" s="219">
        <f ca="1" t="shared" si="9"/>
        <v>0.4169473944</v>
      </c>
      <c r="AR32" s="230" t="e">
        <f>VLOOKUP(AR$1,Formulas!$F$47:$G$55,2,FALSE)*($E32+AN32+AO32)</f>
        <v>#REF!</v>
      </c>
      <c r="AS32" s="219">
        <f ca="1" t="shared" si="10"/>
        <v>0.2779649296</v>
      </c>
      <c r="AT32" s="219">
        <f ca="1" t="shared" si="11"/>
        <v>2.779649296</v>
      </c>
      <c r="AU32" s="225">
        <f ca="1">VLOOKUP(AU$1,Formulas!$I$31:$J$39,2,FALSE)*AT32</f>
        <v>1890.161521</v>
      </c>
      <c r="AV32" s="226">
        <v>13900</v>
      </c>
      <c r="AW32" s="226" t="s">
        <v>283</v>
      </c>
      <c r="AY32" s="219" t="e">
        <f t="array" ref="AY32">INDEX(Formulas!$R$24:$W$64,MATCH($B32,Formulas!$Q$24:$Q$64,0),MATCH(AY$1,Formulas!$R$23:$W$23,0))</f>
        <v>#REF!</v>
      </c>
      <c r="AZ32" s="219">
        <f t="array" ref="AZ32">INDEX(Formulas!$G$24:$O$27,MATCH($C32,Formulas!$F$24:$F$27,0),MATCH(AZ$1,Formulas!$G$23:$O$23,0))*45</f>
        <v>0.091125</v>
      </c>
      <c r="BA32" s="219">
        <f>VLOOKUP($C32,Formulas!$K$31:$L$34,2,FALSE)</f>
        <v>0.4</v>
      </c>
      <c r="BB32" s="219">
        <f ca="1" t="shared" si="12"/>
        <v>0.418736356</v>
      </c>
      <c r="BC32" s="230" t="e">
        <f>VLOOKUP(BC$1,Formulas!$F$47:$G$55,2,FALSE)*($E32+AY32+AZ32)</f>
        <v>#REF!</v>
      </c>
      <c r="BD32" s="219">
        <f ca="1" t="shared" si="13"/>
        <v>0.2791575707</v>
      </c>
      <c r="BE32" s="219">
        <f ca="1" t="shared" si="14"/>
        <v>2.791575707</v>
      </c>
      <c r="BF32" s="225">
        <f ca="1">VLOOKUP(BF$1,Formulas!$I$31:$J$39,2,FALSE)*BE32</f>
        <v>1898.271481</v>
      </c>
      <c r="BG32" s="226">
        <v>13900</v>
      </c>
      <c r="BH32" s="226" t="s">
        <v>283</v>
      </c>
      <c r="BJ32" s="219" t="e">
        <f t="array" ref="BJ32">INDEX(Formulas!$R$24:$W$64,MATCH($B32,Formulas!$Q$24:$Q$64,0),MATCH(BJ$1,Formulas!$R$23:$W$23,0))</f>
        <v>#REF!</v>
      </c>
      <c r="BK32" s="219">
        <f t="array" ref="BK32">INDEX(Formulas!$G$24:$O$27,MATCH($C32,Formulas!$F$24:$F$27,0),MATCH(BK$1,Formulas!$G$23:$O$23,0))*45</f>
        <v>0.091125</v>
      </c>
      <c r="BL32" s="219">
        <f>VLOOKUP($C32,Formulas!$K$31:$L$34,2,FALSE)</f>
        <v>0.4</v>
      </c>
      <c r="BM32" s="219">
        <f ca="1" t="shared" si="15"/>
        <v>0.408054271</v>
      </c>
      <c r="BN32" s="230" t="e">
        <f>VLOOKUP(BN$1,Formulas!$F$47:$G$55,2,FALSE)*($E32+BJ32+BK32)</f>
        <v>#REF!</v>
      </c>
      <c r="BO32" s="219">
        <f ca="1" t="shared" si="16"/>
        <v>0.2720361807</v>
      </c>
      <c r="BP32" s="219">
        <f ca="1" t="shared" si="17"/>
        <v>2.720361807</v>
      </c>
      <c r="BQ32" s="225">
        <f ca="1">VLOOKUP(BQ$1,Formulas!$I$31:$J$39,2,FALSE)*BP32</f>
        <v>34.00452258</v>
      </c>
      <c r="BR32" s="226">
        <v>81</v>
      </c>
      <c r="BS32" s="226" t="s">
        <v>283</v>
      </c>
      <c r="BT32" s="225"/>
    </row>
    <row r="33" ht="12.5" spans="2:72">
      <c r="B33" s="52" t="e">
        <f>#REF!</f>
        <v>#REF!</v>
      </c>
      <c r="C33" s="52" t="s">
        <v>3</v>
      </c>
      <c r="D33" s="218">
        <v>0.06</v>
      </c>
      <c r="E33" s="219" t="e">
        <f>#REF!</f>
        <v>#REF!</v>
      </c>
      <c r="G33" s="219" t="e">
        <f t="array" ref="G33">INDEX(Formulas!$R$24:$W$64,MATCH($B33,Formulas!$Q$24:$Q$64,0),MATCH(G$1,Formulas!$R$23:$W$23,0))</f>
        <v>#REF!</v>
      </c>
      <c r="H33" s="219">
        <f t="array" ref="H33">INDEX(Formulas!$G$24:$O$27,MATCH($C33,Formulas!$F$24:$F$27,0),MATCH(H$1,Formulas!$G$23:$O$23,0))*45</f>
        <v>0.31896</v>
      </c>
      <c r="I33" s="219">
        <f>VLOOKUP($C33,Formulas!$K$31:$L$34,2,FALSE)</f>
        <v>0.4</v>
      </c>
      <c r="J33" s="219">
        <f ca="1" t="shared" si="0"/>
        <v>0.3572556286</v>
      </c>
      <c r="K33" s="219" t="e">
        <f>VLOOKUP(K$1,Formulas!$F$47:$G$55,2,FALSE)*($E33+G33+H33)</f>
        <v>#REF!</v>
      </c>
      <c r="L33" s="219">
        <f ca="1" t="shared" si="1"/>
        <v>0.5954260476</v>
      </c>
      <c r="M33" s="219">
        <f ca="1" t="shared" si="2"/>
        <v>5.954260476</v>
      </c>
      <c r="N33" s="225">
        <f ca="1">VLOOKUP(N$1,Formulas!$I$31:$J$39,2,FALSE)*M33</f>
        <v>5477.919638</v>
      </c>
      <c r="O33" s="226">
        <v>4990</v>
      </c>
      <c r="P33" s="226" t="s">
        <v>283</v>
      </c>
      <c r="R33" s="219" t="e">
        <f t="array" ref="R33">INDEX(Formulas!$R$24:$W$64,MATCH($B33,Formulas!$Q$24:$Q$64,0),MATCH(R$1,Formulas!$R$23:$W$23,0))</f>
        <v>#REF!</v>
      </c>
      <c r="S33" s="219">
        <f t="array" ref="S33">INDEX(Formulas!$G$24:$O$27,MATCH($C33,Formulas!$F$24:$F$27,0),MATCH(S$1,Formulas!$G$23:$O$23,0))*45</f>
        <v>0.227835</v>
      </c>
      <c r="T33" s="219">
        <f>VLOOKUP($C33,Formulas!$K$31:$L$34,2,FALSE)</f>
        <v>0.4</v>
      </c>
      <c r="U33" s="219">
        <f ca="1" t="shared" si="3"/>
        <v>0.3718202774</v>
      </c>
      <c r="V33" s="230" t="e">
        <f>VLOOKUP(V$1,Formulas!$F$47:$G$55,2,FALSE)*($E33+R33+S33)</f>
        <v>#REF!</v>
      </c>
      <c r="W33" s="219">
        <f ca="1" t="shared" si="4"/>
        <v>0.6197004623</v>
      </c>
      <c r="X33" s="219">
        <f ca="1" t="shared" si="5"/>
        <v>6.197004623</v>
      </c>
      <c r="Y33" s="225">
        <f ca="1">VLOOKUP(Y$1,Formulas!$I$31:$J$39,2,FALSE)*X33</f>
        <v>917.1566841</v>
      </c>
      <c r="Z33" s="226"/>
      <c r="AA33" s="226" t="s">
        <v>283</v>
      </c>
      <c r="AC33" s="219" t="e">
        <f t="array" ref="AC33">INDEX(Formulas!$R$24:$W$64,MATCH($B33,Formulas!$Q$24:$Q$64,0),MATCH(AC$1,Formulas!$R$23:$W$23,0))</f>
        <v>#REF!</v>
      </c>
      <c r="AD33" s="219">
        <f t="array" ref="AD33">INDEX(Formulas!$G$24:$O$27,MATCH($C33,Formulas!$F$24:$F$27,0),MATCH(AD$1,Formulas!$G$23:$O$23,0))*45</f>
        <v>0.227835</v>
      </c>
      <c r="AE33" s="219">
        <f>VLOOKUP($C33,Formulas!$K$31:$L$34,2,FALSE)</f>
        <v>0.4</v>
      </c>
      <c r="AF33" s="219">
        <f ca="1" t="shared" si="6"/>
        <v>0.3973389929</v>
      </c>
      <c r="AG33" s="230" t="e">
        <f>VLOOKUP(AG$1,Formulas!$F$47:$G$55,2,FALSE)*($E33+AC33+AD33)</f>
        <v>#REF!</v>
      </c>
      <c r="AH33" s="219">
        <f ca="1" t="shared" si="7"/>
        <v>0.6622316548</v>
      </c>
      <c r="AI33" s="219">
        <f ca="1" t="shared" si="8"/>
        <v>6.622316548</v>
      </c>
      <c r="AJ33" s="225">
        <f ca="1">VLOOKUP(AJ$1,Formulas!$I$31:$J$39,2,FALSE)*AI33</f>
        <v>25164.80288</v>
      </c>
      <c r="AK33" s="226"/>
      <c r="AL33" s="226" t="s">
        <v>294</v>
      </c>
      <c r="AN33" s="219" t="e">
        <f t="array" ref="AN33">INDEX(Formulas!$R$24:$W$64,MATCH($B33,Formulas!$Q$24:$Q$64,0),MATCH(AN$1,Formulas!$R$23:$W$23,0))</f>
        <v>#REF!</v>
      </c>
      <c r="AO33" s="219">
        <f t="array" ref="AO33">INDEX(Formulas!$G$24:$O$27,MATCH($C33,Formulas!$F$24:$F$27,0),MATCH(AO$1,Formulas!$G$23:$O$23,0))*45</f>
        <v>0.31896</v>
      </c>
      <c r="AP33" s="219">
        <f>VLOOKUP($C33,Formulas!$K$31:$L$34,2,FALSE)</f>
        <v>0.4</v>
      </c>
      <c r="AQ33" s="219">
        <f ca="1" t="shared" si="9"/>
        <v>0.3454810183</v>
      </c>
      <c r="AR33" s="230" t="e">
        <f>VLOOKUP(AR$1,Formulas!$F$47:$G$55,2,FALSE)*($E33+AN33+AO33)</f>
        <v>#REF!</v>
      </c>
      <c r="AS33" s="219">
        <f ca="1" t="shared" si="10"/>
        <v>0.5758016971</v>
      </c>
      <c r="AT33" s="219">
        <f ca="1" t="shared" si="11"/>
        <v>5.758016971</v>
      </c>
      <c r="AU33" s="225">
        <f ca="1">VLOOKUP(AU$1,Formulas!$I$31:$J$39,2,FALSE)*AT33</f>
        <v>3915.451541</v>
      </c>
      <c r="AV33" s="226">
        <v>3900</v>
      </c>
      <c r="AW33" s="226" t="s">
        <v>283</v>
      </c>
      <c r="AY33" s="219" t="e">
        <f t="array" ref="AY33">INDEX(Formulas!$R$24:$W$64,MATCH($B33,Formulas!$Q$24:$Q$64,0),MATCH(AY$1,Formulas!$R$23:$W$23,0))</f>
        <v>#REF!</v>
      </c>
      <c r="AZ33" s="219">
        <f t="array" ref="AZ33">INDEX(Formulas!$G$24:$O$27,MATCH($C33,Formulas!$F$24:$F$27,0),MATCH(AZ$1,Formulas!$G$23:$O$23,0))*45</f>
        <v>0.227835</v>
      </c>
      <c r="BA33" s="219">
        <f>VLOOKUP($C33,Formulas!$K$31:$L$34,2,FALSE)</f>
        <v>0.4</v>
      </c>
      <c r="BB33" s="219">
        <f ca="1" t="shared" si="12"/>
        <v>0.3407095529</v>
      </c>
      <c r="BC33" s="230" t="e">
        <f>VLOOKUP(BC$1,Formulas!$F$47:$G$55,2,FALSE)*($E33+AY33+AZ33)</f>
        <v>#REF!</v>
      </c>
      <c r="BD33" s="219">
        <f ca="1" t="shared" si="13"/>
        <v>0.5678492548</v>
      </c>
      <c r="BE33" s="219">
        <f ca="1" t="shared" si="14"/>
        <v>5.678492548</v>
      </c>
      <c r="BF33" s="225">
        <f ca="1">VLOOKUP(BF$1,Formulas!$I$31:$J$39,2,FALSE)*BE33</f>
        <v>3861.374932</v>
      </c>
      <c r="BG33" s="226">
        <v>3900</v>
      </c>
      <c r="BH33" s="226" t="s">
        <v>283</v>
      </c>
      <c r="BJ33" s="219" t="e">
        <f t="array" ref="BJ33">INDEX(Formulas!$R$24:$W$64,MATCH($B33,Formulas!$Q$24:$Q$64,0),MATCH(BJ$1,Formulas!$R$23:$W$23,0))</f>
        <v>#REF!</v>
      </c>
      <c r="BK33" s="219">
        <f t="array" ref="BK33">INDEX(Formulas!$G$24:$O$27,MATCH($C33,Formulas!$F$24:$F$27,0),MATCH(BK$1,Formulas!$G$23:$O$23,0))*45</f>
        <v>0.227835</v>
      </c>
      <c r="BL33" s="219">
        <f>VLOOKUP($C33,Formulas!$K$31:$L$34,2,FALSE)</f>
        <v>0.4</v>
      </c>
      <c r="BM33" s="219">
        <f ca="1" t="shared" si="15"/>
        <v>0.3501622475</v>
      </c>
      <c r="BN33" s="230" t="e">
        <f>VLOOKUP(BN$1,Formulas!$F$47:$G$55,2,FALSE)*($E33+BJ33+BK33)</f>
        <v>#REF!</v>
      </c>
      <c r="BO33" s="219">
        <f ca="1" t="shared" si="16"/>
        <v>0.5836037458</v>
      </c>
      <c r="BP33" s="219">
        <f ca="1" t="shared" si="17"/>
        <v>5.836037458</v>
      </c>
      <c r="BQ33" s="225">
        <f ca="1">VLOOKUP(BQ$1,Formulas!$I$31:$J$39,2,FALSE)*BP33</f>
        <v>72.95046823</v>
      </c>
      <c r="BR33" s="226">
        <v>89</v>
      </c>
      <c r="BS33" s="226" t="s">
        <v>291</v>
      </c>
      <c r="BT33" s="225"/>
    </row>
    <row r="34" ht="12.5" spans="2:72">
      <c r="B34" s="52" t="e">
        <f>#REF!</f>
        <v>#REF!</v>
      </c>
      <c r="C34" s="52" t="s">
        <v>3</v>
      </c>
      <c r="D34" s="218">
        <v>0.15</v>
      </c>
      <c r="E34" s="219" t="e">
        <f>#REF!</f>
        <v>#REF!</v>
      </c>
      <c r="G34" s="219" t="e">
        <f t="array" ref="G34">INDEX(Formulas!$R$24:$W$64,MATCH($B34,Formulas!$Q$24:$Q$64,0),MATCH(G$1,Formulas!$R$23:$W$23,0))</f>
        <v>#REF!</v>
      </c>
      <c r="H34" s="219">
        <f t="array" ref="H34">INDEX(Formulas!$G$24:$O$27,MATCH($C34,Formulas!$F$24:$F$27,0),MATCH(H$1,Formulas!$G$23:$O$23,0))*45</f>
        <v>0.31896</v>
      </c>
      <c r="I34" s="219">
        <f>VLOOKUP($C34,Formulas!$K$31:$L$34,2,FALSE)</f>
        <v>0.4</v>
      </c>
      <c r="J34" s="219">
        <f ca="1" t="shared" si="0"/>
        <v>0.4413217899</v>
      </c>
      <c r="K34" s="219" t="e">
        <f>VLOOKUP(K$1,Formulas!$F$47:$G$55,2,FALSE)*($E34+G34+H34)</f>
        <v>#REF!</v>
      </c>
      <c r="L34" s="219">
        <f ca="1" t="shared" si="1"/>
        <v>0.2942145266</v>
      </c>
      <c r="M34" s="219">
        <f ca="1" t="shared" si="2"/>
        <v>2.942145266</v>
      </c>
      <c r="N34" s="225">
        <f ca="1">VLOOKUP(N$1,Formulas!$I$31:$J$39,2,FALSE)*M34</f>
        <v>2706.773645</v>
      </c>
      <c r="O34" s="226">
        <v>2000</v>
      </c>
      <c r="P34" s="226" t="s">
        <v>283</v>
      </c>
      <c r="R34" s="219" t="e">
        <f t="array" ref="R34">INDEX(Formulas!$R$24:$W$64,MATCH($B34,Formulas!$Q$24:$Q$64,0),MATCH(R$1,Formulas!$R$23:$W$23,0))</f>
        <v>#REF!</v>
      </c>
      <c r="S34" s="219">
        <f t="array" ref="S34">INDEX(Formulas!$G$24:$O$27,MATCH($C34,Formulas!$F$24:$F$27,0),MATCH(S$1,Formulas!$G$23:$O$23,0))*45</f>
        <v>0.227835</v>
      </c>
      <c r="T34" s="219">
        <f>VLOOKUP($C34,Formulas!$K$31:$L$34,2,FALSE)</f>
        <v>0.4</v>
      </c>
      <c r="U34" s="219">
        <f ca="1" t="shared" si="3"/>
        <v>0.4483514978</v>
      </c>
      <c r="V34" s="230" t="e">
        <f>VLOOKUP(V$1,Formulas!$F$47:$G$55,2,FALSE)*($E34+R34+S34)</f>
        <v>#REF!</v>
      </c>
      <c r="W34" s="219">
        <f ca="1" t="shared" si="4"/>
        <v>0.2989009985</v>
      </c>
      <c r="X34" s="219">
        <f ca="1" t="shared" si="5"/>
        <v>2.989009985</v>
      </c>
      <c r="Y34" s="225">
        <f ca="1">VLOOKUP(Y$1,Formulas!$I$31:$J$39,2,FALSE)*X34</f>
        <v>442.3734778</v>
      </c>
      <c r="Z34" s="226">
        <v>369</v>
      </c>
      <c r="AA34" s="226"/>
      <c r="AC34" s="219" t="e">
        <f t="array" ref="AC34">INDEX(Formulas!$R$24:$W$64,MATCH($B34,Formulas!$Q$24:$Q$64,0),MATCH(AC$1,Formulas!$R$23:$W$23,0))</f>
        <v>#REF!</v>
      </c>
      <c r="AD34" s="219">
        <f t="array" ref="AD34">INDEX(Formulas!$G$24:$O$27,MATCH($C34,Formulas!$F$24:$F$27,0),MATCH(AD$1,Formulas!$G$23:$O$23,0))*45</f>
        <v>0.227835</v>
      </c>
      <c r="AE34" s="219">
        <f>VLOOKUP($C34,Formulas!$K$31:$L$34,2,FALSE)</f>
        <v>0.4</v>
      </c>
      <c r="AF34" s="219">
        <f ca="1" t="shared" si="6"/>
        <v>0.4978898632</v>
      </c>
      <c r="AG34" s="230" t="e">
        <f>VLOOKUP(AG$1,Formulas!$F$47:$G$55,2,FALSE)*($E34+AC34+AD34)</f>
        <v>#REF!</v>
      </c>
      <c r="AH34" s="219">
        <f ca="1" t="shared" si="7"/>
        <v>0.3319265755</v>
      </c>
      <c r="AI34" s="219">
        <f ca="1" t="shared" si="8"/>
        <v>3.319265755</v>
      </c>
      <c r="AJ34" s="225">
        <f ca="1">VLOOKUP(AJ$1,Formulas!$I$31:$J$39,2,FALSE)*AI34</f>
        <v>12613.20987</v>
      </c>
      <c r="AK34" s="226"/>
      <c r="AL34" s="226" t="s">
        <v>294</v>
      </c>
      <c r="AN34" s="219" t="e">
        <f t="array" ref="AN34">INDEX(Formulas!$R$24:$W$64,MATCH($B34,Formulas!$Q$24:$Q$64,0),MATCH(AN$1,Formulas!$R$23:$W$23,0))</f>
        <v>#REF!</v>
      </c>
      <c r="AO34" s="219">
        <f t="array" ref="AO34">INDEX(Formulas!$G$24:$O$27,MATCH($C34,Formulas!$F$24:$F$27,0),MATCH(AO$1,Formulas!$G$23:$O$23,0))*45</f>
        <v>0.31896</v>
      </c>
      <c r="AP34" s="219">
        <f>VLOOKUP($C34,Formulas!$K$31:$L$34,2,FALSE)</f>
        <v>0.4</v>
      </c>
      <c r="AQ34" s="219">
        <f ca="1" t="shared" si="9"/>
        <v>0.4284914869</v>
      </c>
      <c r="AR34" s="230" t="e">
        <f>VLOOKUP(AR$1,Formulas!$F$47:$G$55,2,FALSE)*($E34+AN34+AO34)</f>
        <v>#REF!</v>
      </c>
      <c r="AS34" s="219">
        <f ca="1" t="shared" si="10"/>
        <v>0.2856609913</v>
      </c>
      <c r="AT34" s="219">
        <f ca="1" t="shared" si="11"/>
        <v>2.856609913</v>
      </c>
      <c r="AU34" s="225">
        <f ca="1">VLOOKUP(AU$1,Formulas!$I$31:$J$39,2,FALSE)*AT34</f>
        <v>1942.494741</v>
      </c>
      <c r="AV34" s="226">
        <v>2500</v>
      </c>
      <c r="AW34" s="226" t="s">
        <v>283</v>
      </c>
      <c r="AY34" s="219" t="e">
        <f t="array" ref="AY34">INDEX(Formulas!$R$24:$W$64,MATCH($B34,Formulas!$Q$24:$Q$64,0),MATCH(AY$1,Formulas!$R$23:$W$23,0))</f>
        <v>#REF!</v>
      </c>
      <c r="AZ34" s="219">
        <f t="array" ref="AZ34">INDEX(Formulas!$G$24:$O$27,MATCH($C34,Formulas!$F$24:$F$27,0),MATCH(AZ$1,Formulas!$G$23:$O$23,0))*45</f>
        <v>0.227835</v>
      </c>
      <c r="BA34" s="219">
        <f>VLOOKUP($C34,Formulas!$K$31:$L$34,2,FALSE)</f>
        <v>0.4</v>
      </c>
      <c r="BB34" s="219">
        <f ca="1" t="shared" si="12"/>
        <v>0.4113924386</v>
      </c>
      <c r="BC34" s="230" t="e">
        <f>VLOOKUP(BC$1,Formulas!$F$47:$G$55,2,FALSE)*($E34+AY34+AZ34)</f>
        <v>#REF!</v>
      </c>
      <c r="BD34" s="219">
        <f ca="1" t="shared" si="13"/>
        <v>0.2742616257</v>
      </c>
      <c r="BE34" s="219">
        <f ca="1" t="shared" si="14"/>
        <v>2.742616257</v>
      </c>
      <c r="BF34" s="225">
        <f ca="1">VLOOKUP(BF$1,Formulas!$I$31:$J$39,2,FALSE)*BE34</f>
        <v>1864.979055</v>
      </c>
      <c r="BG34" s="226">
        <v>2500</v>
      </c>
      <c r="BH34" s="226" t="s">
        <v>283</v>
      </c>
      <c r="BJ34" s="219" t="e">
        <f t="array" ref="BJ34">INDEX(Formulas!$R$24:$W$64,MATCH($B34,Formulas!$Q$24:$Q$64,0),MATCH(BJ$1,Formulas!$R$23:$W$23,0))</f>
        <v>#REF!</v>
      </c>
      <c r="BK34" s="219">
        <f t="array" ref="BK34">INDEX(Formulas!$G$24:$O$27,MATCH($C34,Formulas!$F$24:$F$27,0),MATCH(BK$1,Formulas!$G$23:$O$23,0))*45</f>
        <v>0.227835</v>
      </c>
      <c r="BL34" s="219">
        <f>VLOOKUP($C34,Formulas!$K$31:$L$34,2,FALSE)</f>
        <v>0.4</v>
      </c>
      <c r="BM34" s="219">
        <f ca="1" t="shared" si="15"/>
        <v>0.415544699</v>
      </c>
      <c r="BN34" s="230" t="e">
        <f>VLOOKUP(BN$1,Formulas!$F$47:$G$55,2,FALSE)*($E34+BJ34+BK34)</f>
        <v>#REF!</v>
      </c>
      <c r="BO34" s="219">
        <f ca="1" t="shared" si="16"/>
        <v>0.2770297993</v>
      </c>
      <c r="BP34" s="219">
        <f ca="1" t="shared" si="17"/>
        <v>2.770297993</v>
      </c>
      <c r="BQ34" s="225">
        <f ca="1">VLOOKUP(BQ$1,Formulas!$I$31:$J$39,2,FALSE)*BP34</f>
        <v>34.62872491</v>
      </c>
      <c r="BR34" s="226">
        <v>36</v>
      </c>
      <c r="BS34" s="226" t="s">
        <v>283</v>
      </c>
      <c r="BT34" s="225"/>
    </row>
    <row r="35" ht="12.5" spans="2:72">
      <c r="B35" s="52" t="e">
        <f>#REF!</f>
        <v>#REF!</v>
      </c>
      <c r="C35" s="52" t="s">
        <v>34</v>
      </c>
      <c r="D35" s="218">
        <v>0.2</v>
      </c>
      <c r="E35" s="219" t="e">
        <f>#REF!</f>
        <v>#REF!</v>
      </c>
      <c r="G35" s="219" t="e">
        <f t="array" ref="G35">INDEX(Formulas!$R$24:$W$64,MATCH($B35,Formulas!$Q$24:$Q$64,0),MATCH(G$1,Formulas!$R$23:$W$23,0))</f>
        <v>#REF!</v>
      </c>
      <c r="H35" s="219">
        <f t="array" ref="H35">INDEX(Formulas!$G$24:$O$27,MATCH($C35,Formulas!$F$24:$F$27,0),MATCH(H$1,Formulas!$G$23:$O$23,0))*45</f>
        <v>0.8505</v>
      </c>
      <c r="I35" s="219">
        <f>VLOOKUP($C35,Formulas!$K$31:$L$34,2,FALSE)</f>
        <v>0.6</v>
      </c>
      <c r="J35" s="219">
        <f ca="1" t="shared" si="0"/>
        <v>1.943484571</v>
      </c>
      <c r="K35" s="219" t="e">
        <f>VLOOKUP(K$1,Formulas!$F$47:$G$55,2,FALSE)*($E35+G35+H35)</f>
        <v>#REF!</v>
      </c>
      <c r="L35" s="219">
        <f ca="1" t="shared" si="1"/>
        <v>0.9717422857</v>
      </c>
      <c r="M35" s="219">
        <f ca="1" t="shared" si="2"/>
        <v>9.717422857</v>
      </c>
      <c r="N35" s="225">
        <f ca="1">VLOOKUP(N$1,Formulas!$I$31:$J$39,2,FALSE)*M35</f>
        <v>8940.029029</v>
      </c>
      <c r="O35" s="226">
        <v>5000</v>
      </c>
      <c r="P35" s="226" t="s">
        <v>283</v>
      </c>
      <c r="R35" s="219" t="e">
        <f t="array" ref="R35">INDEX(Formulas!$R$24:$W$64,MATCH($B35,Formulas!$Q$24:$Q$64,0),MATCH(R$1,Formulas!$R$23:$W$23,0))</f>
        <v>#REF!</v>
      </c>
      <c r="S35" s="219">
        <f t="array" ref="S35">INDEX(Formulas!$G$24:$O$27,MATCH($C35,Formulas!$F$24:$F$27,0),MATCH(S$1,Formulas!$G$23:$O$23,0))*45</f>
        <v>0.6075</v>
      </c>
      <c r="T35" s="219">
        <f>VLOOKUP($C35,Formulas!$K$31:$L$34,2,FALSE)</f>
        <v>0.6</v>
      </c>
      <c r="U35" s="219">
        <f ca="1" t="shared" si="3"/>
        <v>2.080776429</v>
      </c>
      <c r="V35" s="230" t="e">
        <f>VLOOKUP(V$1,Formulas!$F$47:$G$55,2,FALSE)*($E35+R35+S35)</f>
        <v>#REF!</v>
      </c>
      <c r="W35" s="219">
        <f ca="1" t="shared" si="4"/>
        <v>1.040388214</v>
      </c>
      <c r="X35" s="219">
        <f ca="1" t="shared" si="5"/>
        <v>10.40388214</v>
      </c>
      <c r="Y35" s="225">
        <f ca="1">VLOOKUP(Y$1,Formulas!$I$31:$J$39,2,FALSE)*X35</f>
        <v>1539.774557</v>
      </c>
      <c r="Z35" s="226"/>
      <c r="AA35" s="226" t="s">
        <v>283</v>
      </c>
      <c r="AC35" s="219" t="e">
        <f t="array" ref="AC35">INDEX(Formulas!$R$24:$W$64,MATCH($B35,Formulas!$Q$24:$Q$64,0),MATCH(AC$1,Formulas!$R$23:$W$23,0))</f>
        <v>#REF!</v>
      </c>
      <c r="AD35" s="219">
        <f t="array" ref="AD35">INDEX(Formulas!$G$24:$O$27,MATCH($C35,Formulas!$F$24:$F$27,0),MATCH(AD$1,Formulas!$G$23:$O$23,0))*45</f>
        <v>0.6075</v>
      </c>
      <c r="AE35" s="219">
        <f>VLOOKUP($C35,Formulas!$K$31:$L$34,2,FALSE)</f>
        <v>0.6</v>
      </c>
      <c r="AF35" s="219">
        <f ca="1" t="shared" si="6"/>
        <v>2.780795238</v>
      </c>
      <c r="AG35" s="230" t="e">
        <f>VLOOKUP(AG$1,Formulas!$F$47:$G$55,2,FALSE)*($E35+AC35+AD35)</f>
        <v>#REF!</v>
      </c>
      <c r="AH35" s="219">
        <f ca="1" t="shared" si="7"/>
        <v>1.390397619</v>
      </c>
      <c r="AI35" s="219">
        <f ca="1" t="shared" si="8"/>
        <v>13.90397619</v>
      </c>
      <c r="AJ35" s="225">
        <f ca="1">VLOOKUP(AJ$1,Formulas!$I$31:$J$39,2,FALSE)*AI35</f>
        <v>52835.10952</v>
      </c>
      <c r="AK35" s="226"/>
      <c r="AL35" s="226" t="s">
        <v>294</v>
      </c>
      <c r="AN35" s="219" t="e">
        <f t="array" ref="AN35">INDEX(Formulas!$R$24:$W$64,MATCH($B35,Formulas!$Q$24:$Q$64,0),MATCH(AN$1,Formulas!$R$23:$W$23,0))</f>
        <v>#REF!</v>
      </c>
      <c r="AO35" s="219">
        <f t="array" ref="AO35">INDEX(Formulas!$G$24:$O$27,MATCH($C35,Formulas!$F$24:$F$27,0),MATCH(AO$1,Formulas!$G$23:$O$23,0))*45</f>
        <v>0.8505</v>
      </c>
      <c r="AP35" s="219">
        <f>VLOOKUP($C35,Formulas!$K$31:$L$34,2,FALSE)</f>
        <v>0.6</v>
      </c>
      <c r="AQ35" s="219">
        <f ca="1" t="shared" si="9"/>
        <v>1.883082667</v>
      </c>
      <c r="AR35" s="230" t="e">
        <f>VLOOKUP(AR$1,Formulas!$F$47:$G$55,2,FALSE)*($E35+AN35+AO35)</f>
        <v>#REF!</v>
      </c>
      <c r="AS35" s="219">
        <f ca="1" t="shared" si="10"/>
        <v>0.9415413333</v>
      </c>
      <c r="AT35" s="219">
        <f ca="1" t="shared" si="11"/>
        <v>9.415413333</v>
      </c>
      <c r="AU35" s="225">
        <f ca="1">VLOOKUP(AU$1,Formulas!$I$31:$J$39,2,FALSE)*AT35</f>
        <v>6402.481067</v>
      </c>
      <c r="AV35" s="226">
        <v>5900</v>
      </c>
      <c r="AW35" s="226" t="s">
        <v>283</v>
      </c>
      <c r="AY35" s="219" t="e">
        <f t="array" ref="AY35">INDEX(Formulas!$R$24:$W$64,MATCH($B35,Formulas!$Q$24:$Q$64,0),MATCH(AY$1,Formulas!$R$23:$W$23,0))</f>
        <v>#REF!</v>
      </c>
      <c r="AZ35" s="219">
        <f t="array" ref="AZ35">INDEX(Formulas!$G$24:$O$27,MATCH($C35,Formulas!$F$24:$F$27,0),MATCH(AZ$1,Formulas!$G$23:$O$23,0))*45</f>
        <v>0.6075</v>
      </c>
      <c r="BA35" s="219">
        <f>VLOOKUP($C35,Formulas!$K$31:$L$34,2,FALSE)</f>
        <v>0.6</v>
      </c>
      <c r="BB35" s="219">
        <f ca="1" t="shared" si="12"/>
        <v>1.817709524</v>
      </c>
      <c r="BC35" s="230" t="e">
        <f>VLOOKUP(BC$1,Formulas!$F$47:$G$55,2,FALSE)*($E35+AY35+AZ35)</f>
        <v>#REF!</v>
      </c>
      <c r="BD35" s="219">
        <f ca="1" t="shared" si="13"/>
        <v>0.9088547619</v>
      </c>
      <c r="BE35" s="219">
        <f ca="1" t="shared" si="14"/>
        <v>9.088547619</v>
      </c>
      <c r="BF35" s="225">
        <f ca="1">VLOOKUP(BF$1,Formulas!$I$31:$J$39,2,FALSE)*BE35</f>
        <v>6180.212381</v>
      </c>
      <c r="BG35" s="226">
        <v>5900</v>
      </c>
      <c r="BH35" s="226" t="s">
        <v>283</v>
      </c>
      <c r="BJ35" s="219" t="e">
        <f t="array" ref="BJ35">INDEX(Formulas!$R$24:$W$64,MATCH($B35,Formulas!$Q$24:$Q$64,0),MATCH(BJ$1,Formulas!$R$23:$W$23,0))</f>
        <v>#REF!</v>
      </c>
      <c r="BK35" s="219">
        <f t="array" ref="BK35">INDEX(Formulas!$G$24:$O$27,MATCH($C35,Formulas!$F$24:$F$27,0),MATCH(BK$1,Formulas!$G$23:$O$23,0))*45</f>
        <v>0.6075</v>
      </c>
      <c r="BL35" s="219">
        <f>VLOOKUP($C35,Formulas!$K$31:$L$34,2,FALSE)</f>
        <v>0.6</v>
      </c>
      <c r="BM35" s="219">
        <f ca="1" t="shared" si="15"/>
        <v>1.719352381</v>
      </c>
      <c r="BN35" s="230" t="e">
        <f>VLOOKUP(BN$1,Formulas!$F$47:$G$55,2,FALSE)*($E35+BJ35+BK35)</f>
        <v>#REF!</v>
      </c>
      <c r="BO35" s="219">
        <f ca="1" t="shared" si="16"/>
        <v>0.8596761905</v>
      </c>
      <c r="BP35" s="219">
        <f ca="1" t="shared" si="17"/>
        <v>8.596761905</v>
      </c>
      <c r="BQ35" s="225">
        <f ca="1">VLOOKUP(BQ$1,Formulas!$I$31:$J$39,2,FALSE)*BP35</f>
        <v>107.4595238</v>
      </c>
      <c r="BR35" s="226">
        <v>179</v>
      </c>
      <c r="BS35" s="226" t="s">
        <v>283</v>
      </c>
      <c r="BT35" s="225"/>
    </row>
    <row r="36" ht="12.5" spans="2:72">
      <c r="B36" s="52" t="e">
        <f>#REF!</f>
        <v>#REF!</v>
      </c>
      <c r="C36" s="52" t="s">
        <v>3</v>
      </c>
      <c r="D36" s="218">
        <v>0.2</v>
      </c>
      <c r="E36" s="219" t="e">
        <f>#REF!</f>
        <v>#REF!</v>
      </c>
      <c r="G36" s="219" t="e">
        <f t="array" ref="G36">INDEX(Formulas!$R$24:$W$64,MATCH($B36,Formulas!$Q$24:$Q$64,0),MATCH(G$1,Formulas!$R$23:$W$23,0))</f>
        <v>#REF!</v>
      </c>
      <c r="H36" s="219">
        <f t="array" ref="H36">INDEX(Formulas!$G$24:$O$27,MATCH($C36,Formulas!$F$24:$F$27,0),MATCH(H$1,Formulas!$G$23:$O$23,0))*45</f>
        <v>0.31896</v>
      </c>
      <c r="I36" s="219">
        <f>VLOOKUP($C36,Formulas!$K$31:$L$34,2,FALSE)</f>
        <v>0.4</v>
      </c>
      <c r="J36" s="219">
        <f ca="1" t="shared" si="0"/>
        <v>0.3856196343</v>
      </c>
      <c r="K36" s="219" t="e">
        <f>VLOOKUP(K$1,Formulas!$F$47:$G$55,2,FALSE)*($E36+G36+H36)</f>
        <v>#REF!</v>
      </c>
      <c r="L36" s="219">
        <f ca="1" t="shared" si="1"/>
        <v>0.1928098171</v>
      </c>
      <c r="M36" s="219">
        <f ca="1" t="shared" si="2"/>
        <v>1.928098171</v>
      </c>
      <c r="N36" s="225">
        <f ca="1">VLOOKUP(N$1,Formulas!$I$31:$J$39,2,FALSE)*M36</f>
        <v>1773.850318</v>
      </c>
      <c r="O36" s="226">
        <v>1000</v>
      </c>
      <c r="P36" s="226" t="s">
        <v>283</v>
      </c>
      <c r="R36" s="219" t="e">
        <f t="array" ref="R36">INDEX(Formulas!$R$24:$W$64,MATCH($B36,Formulas!$Q$24:$Q$64,0),MATCH(R$1,Formulas!$R$23:$W$23,0))</f>
        <v>#REF!</v>
      </c>
      <c r="S36" s="219">
        <f t="array" ref="S36">INDEX(Formulas!$G$24:$O$27,MATCH($C36,Formulas!$F$24:$F$27,0),MATCH(S$1,Formulas!$G$23:$O$23,0))*45</f>
        <v>0.227835</v>
      </c>
      <c r="T36" s="219">
        <f>VLOOKUP($C36,Formulas!$K$31:$L$34,2,FALSE)</f>
        <v>0.4</v>
      </c>
      <c r="U36" s="219">
        <f ca="1" t="shared" si="3"/>
        <v>0.3775093357</v>
      </c>
      <c r="V36" s="230" t="e">
        <f>VLOOKUP(V$1,Formulas!$F$47:$G$55,2,FALSE)*($E36+R36+S36)</f>
        <v>#REF!</v>
      </c>
      <c r="W36" s="219">
        <f ca="1" t="shared" si="4"/>
        <v>0.1887546679</v>
      </c>
      <c r="X36" s="219">
        <f ca="1" t="shared" si="5"/>
        <v>1.887546679</v>
      </c>
      <c r="Y36" s="225">
        <f ca="1">VLOOKUP(Y$1,Formulas!$I$31:$J$39,2,FALSE)*X36</f>
        <v>279.3569084</v>
      </c>
      <c r="Z36" s="226">
        <v>259</v>
      </c>
      <c r="AA36" s="226" t="s">
        <v>291</v>
      </c>
      <c r="AC36" s="219" t="e">
        <f t="array" ref="AC36">INDEX(Formulas!$R$24:$W$64,MATCH($B36,Formulas!$Q$24:$Q$64,0),MATCH(AC$1,Formulas!$R$23:$W$23,0))</f>
        <v>#REF!</v>
      </c>
      <c r="AD36" s="219">
        <f t="array" ref="AD36">INDEX(Formulas!$G$24:$O$27,MATCH($C36,Formulas!$F$24:$F$27,0),MATCH(AD$1,Formulas!$G$23:$O$23,0))*45</f>
        <v>0.227835</v>
      </c>
      <c r="AE36" s="219">
        <f>VLOOKUP($C36,Formulas!$K$31:$L$34,2,FALSE)</f>
        <v>0.4</v>
      </c>
      <c r="AF36" s="219">
        <f ca="1" t="shared" si="6"/>
        <v>0.4193946</v>
      </c>
      <c r="AG36" s="230" t="e">
        <f>VLOOKUP(AG$1,Formulas!$F$47:$G$55,2,FALSE)*($E36+AC36+AD36)</f>
        <v>#REF!</v>
      </c>
      <c r="AH36" s="219">
        <f ca="1" t="shared" si="7"/>
        <v>0.2096973</v>
      </c>
      <c r="AI36" s="219">
        <f ca="1" t="shared" si="8"/>
        <v>2.096973</v>
      </c>
      <c r="AJ36" s="225">
        <f ca="1">VLOOKUP(AJ$1,Formulas!$I$31:$J$39,2,FALSE)*AI36</f>
        <v>7968.4974</v>
      </c>
      <c r="AK36" s="226"/>
      <c r="AL36" s="226" t="s">
        <v>294</v>
      </c>
      <c r="AN36" s="219" t="e">
        <f t="array" ref="AN36">INDEX(Formulas!$R$24:$W$64,MATCH($B36,Formulas!$Q$24:$Q$64,0),MATCH(AN$1,Formulas!$R$23:$W$23,0))</f>
        <v>#REF!</v>
      </c>
      <c r="AO36" s="219">
        <f t="array" ref="AO36">INDEX(Formulas!$G$24:$O$27,MATCH($C36,Formulas!$F$24:$F$27,0),MATCH(AO$1,Formulas!$G$23:$O$23,0))*45</f>
        <v>0.31896</v>
      </c>
      <c r="AP36" s="219">
        <f>VLOOKUP($C36,Formulas!$K$31:$L$34,2,FALSE)</f>
        <v>0.4</v>
      </c>
      <c r="AQ36" s="219">
        <f ca="1" t="shared" si="9"/>
        <v>0.37600528</v>
      </c>
      <c r="AR36" s="230" t="e">
        <f>VLOOKUP(AR$1,Formulas!$F$47:$G$55,2,FALSE)*($E36+AN36+AO36)</f>
        <v>#REF!</v>
      </c>
      <c r="AS36" s="219">
        <f ca="1" t="shared" si="10"/>
        <v>0.18800264</v>
      </c>
      <c r="AT36" s="219">
        <f ca="1" t="shared" si="11"/>
        <v>1.8800264</v>
      </c>
      <c r="AU36" s="225">
        <f ca="1">VLOOKUP(AU$1,Formulas!$I$31:$J$39,2,FALSE)*AT36</f>
        <v>1278.417952</v>
      </c>
      <c r="AV36" s="226">
        <v>2000</v>
      </c>
      <c r="AW36" s="226" t="s">
        <v>283</v>
      </c>
      <c r="AY36" s="219" t="e">
        <f t="array" ref="AY36">INDEX(Formulas!$R$24:$W$64,MATCH($B36,Formulas!$Q$24:$Q$64,0),MATCH(AY$1,Formulas!$R$23:$W$23,0))</f>
        <v>#REF!</v>
      </c>
      <c r="AZ36" s="219">
        <f t="array" ref="AZ36">INDEX(Formulas!$G$24:$O$27,MATCH($C36,Formulas!$F$24:$F$27,0),MATCH(AZ$1,Formulas!$G$23:$O$23,0))*45</f>
        <v>0.227835</v>
      </c>
      <c r="BA36" s="219">
        <f>VLOOKUP($C36,Formulas!$K$31:$L$34,2,FALSE)</f>
        <v>0.4</v>
      </c>
      <c r="BB36" s="219">
        <f ca="1" t="shared" si="12"/>
        <v>0.3500524286</v>
      </c>
      <c r="BC36" s="230" t="e">
        <f>VLOOKUP(BC$1,Formulas!$F$47:$G$55,2,FALSE)*($E36+AY36+AZ36)</f>
        <v>#REF!</v>
      </c>
      <c r="BD36" s="219">
        <f ca="1" t="shared" si="13"/>
        <v>0.1750262143</v>
      </c>
      <c r="BE36" s="219">
        <f ca="1" t="shared" si="14"/>
        <v>1.750262143</v>
      </c>
      <c r="BF36" s="225">
        <f ca="1">VLOOKUP(BF$1,Formulas!$I$31:$J$39,2,FALSE)*BE36</f>
        <v>1190.178257</v>
      </c>
      <c r="BG36" s="226">
        <v>2000</v>
      </c>
      <c r="BH36" s="226" t="s">
        <v>283</v>
      </c>
      <c r="BJ36" s="219" t="e">
        <f t="array" ref="BJ36">INDEX(Formulas!$R$24:$W$64,MATCH($B36,Formulas!$Q$24:$Q$64,0),MATCH(BJ$1,Formulas!$R$23:$W$23,0))</f>
        <v>#REF!</v>
      </c>
      <c r="BK36" s="219">
        <f t="array" ref="BK36">INDEX(Formulas!$G$24:$O$27,MATCH($C36,Formulas!$F$24:$F$27,0),MATCH(BK$1,Formulas!$G$23:$O$23,0))*45</f>
        <v>0.227835</v>
      </c>
      <c r="BL36" s="219">
        <f>VLOOKUP($C36,Formulas!$K$31:$L$34,2,FALSE)</f>
        <v>0.4</v>
      </c>
      <c r="BM36" s="219">
        <f ca="1" t="shared" si="15"/>
        <v>0.3512656071</v>
      </c>
      <c r="BN36" s="230" t="e">
        <f>VLOOKUP(BN$1,Formulas!$F$47:$G$55,2,FALSE)*($E36+BJ36+BK36)</f>
        <v>#REF!</v>
      </c>
      <c r="BO36" s="219">
        <f ca="1" t="shared" si="16"/>
        <v>0.1756328036</v>
      </c>
      <c r="BP36" s="219">
        <f ca="1" t="shared" si="17"/>
        <v>1.756328036</v>
      </c>
      <c r="BQ36" s="225">
        <f ca="1">VLOOKUP(BQ$1,Formulas!$I$31:$J$39,2,FALSE)*BP36</f>
        <v>21.95410045</v>
      </c>
      <c r="BR36" s="226">
        <v>20</v>
      </c>
      <c r="BS36" s="226" t="s">
        <v>300</v>
      </c>
      <c r="BT36" s="225"/>
    </row>
    <row r="37" ht="12.5" spans="2:72">
      <c r="B37" s="52" t="e">
        <f>#REF!</f>
        <v>#REF!</v>
      </c>
      <c r="C37" s="52" t="s">
        <v>3</v>
      </c>
      <c r="D37" s="218">
        <v>0.2</v>
      </c>
      <c r="E37" s="219" t="e">
        <f>#REF!</f>
        <v>#REF!</v>
      </c>
      <c r="G37" s="219" t="e">
        <f t="array" ref="G37">INDEX(Formulas!$R$24:$W$64,MATCH($B37,Formulas!$Q$24:$Q$64,0),MATCH(G$1,Formulas!$R$23:$W$23,0))</f>
        <v>#REF!</v>
      </c>
      <c r="H37" s="219">
        <f t="array" ref="H37">INDEX(Formulas!$G$24:$O$27,MATCH($C37,Formulas!$F$24:$F$27,0),MATCH(H$1,Formulas!$G$23:$O$23,0))*45</f>
        <v>0.31896</v>
      </c>
      <c r="I37" s="219">
        <f>VLOOKUP($C37,Formulas!$K$31:$L$34,2,FALSE)</f>
        <v>0.4</v>
      </c>
      <c r="J37" s="219">
        <f ca="1" t="shared" si="0"/>
        <v>0.6775892343</v>
      </c>
      <c r="K37" s="219" t="e">
        <f>VLOOKUP(K$1,Formulas!$F$47:$G$55,2,FALSE)*($E37+G37+H37)</f>
        <v>#REF!</v>
      </c>
      <c r="L37" s="219">
        <f ca="1" t="shared" si="1"/>
        <v>0.3387946171</v>
      </c>
      <c r="M37" s="219">
        <f ca="1" t="shared" si="2"/>
        <v>3.387946171</v>
      </c>
      <c r="N37" s="225">
        <f ca="1">VLOOKUP(N$1,Formulas!$I$31:$J$39,2,FALSE)*M37</f>
        <v>3116.910478</v>
      </c>
      <c r="O37" s="226">
        <v>3000</v>
      </c>
      <c r="P37" s="226" t="s">
        <v>283</v>
      </c>
      <c r="R37" s="219" t="e">
        <f t="array" ref="R37">INDEX(Formulas!$R$24:$W$64,MATCH($B37,Formulas!$Q$24:$Q$64,0),MATCH(R$1,Formulas!$R$23:$W$23,0))</f>
        <v>#REF!</v>
      </c>
      <c r="S37" s="219">
        <f t="array" ref="S37">INDEX(Formulas!$G$24:$O$27,MATCH($C37,Formulas!$F$24:$F$27,0),MATCH(S$1,Formulas!$G$23:$O$23,0))*45</f>
        <v>0.227835</v>
      </c>
      <c r="T37" s="219">
        <f>VLOOKUP($C37,Formulas!$K$31:$L$34,2,FALSE)</f>
        <v>0.4</v>
      </c>
      <c r="U37" s="219">
        <f ca="1" t="shared" si="3"/>
        <v>0.7227545129</v>
      </c>
      <c r="V37" s="230" t="e">
        <f>VLOOKUP(V$1,Formulas!$F$47:$G$55,2,FALSE)*($E37+R37+S37)</f>
        <v>#REF!</v>
      </c>
      <c r="W37" s="219">
        <f ca="1" t="shared" si="4"/>
        <v>0.3613772564</v>
      </c>
      <c r="X37" s="219">
        <f ca="1" t="shared" si="5"/>
        <v>3.613772564</v>
      </c>
      <c r="Y37" s="225">
        <f ca="1">VLOOKUP(Y$1,Formulas!$I$31:$J$39,2,FALSE)*X37</f>
        <v>534.8383395</v>
      </c>
      <c r="Z37" s="226">
        <v>899</v>
      </c>
      <c r="AA37" s="226" t="s">
        <v>283</v>
      </c>
      <c r="AC37" s="219" t="e">
        <f t="array" ref="AC37">INDEX(Formulas!$R$24:$W$64,MATCH($B37,Formulas!$Q$24:$Q$64,0),MATCH(AC$1,Formulas!$R$23:$W$23,0))</f>
        <v>#REF!</v>
      </c>
      <c r="AD37" s="219">
        <f t="array" ref="AD37">INDEX(Formulas!$G$24:$O$27,MATCH($C37,Formulas!$F$24:$F$27,0),MATCH(AD$1,Formulas!$G$23:$O$23,0))*45</f>
        <v>0.227835</v>
      </c>
      <c r="AE37" s="219">
        <f>VLOOKUP($C37,Formulas!$K$31:$L$34,2,FALSE)</f>
        <v>0.4</v>
      </c>
      <c r="AF37" s="219">
        <f ca="1" t="shared" si="6"/>
        <v>0.9801043143</v>
      </c>
      <c r="AG37" s="230" t="e">
        <f>VLOOKUP(AG$1,Formulas!$F$47:$G$55,2,FALSE)*($E37+AC37+AD37)</f>
        <v>#REF!</v>
      </c>
      <c r="AH37" s="219">
        <f ca="1" t="shared" si="7"/>
        <v>0.4900521571</v>
      </c>
      <c r="AI37" s="219">
        <f ca="1" t="shared" si="8"/>
        <v>4.900521571</v>
      </c>
      <c r="AJ37" s="225">
        <f ca="1">VLOOKUP(AJ$1,Formulas!$I$31:$J$39,2,FALSE)*AI37</f>
        <v>18621.98197</v>
      </c>
      <c r="AK37" s="226"/>
      <c r="AL37" s="226" t="s">
        <v>301</v>
      </c>
      <c r="AN37" s="219" t="e">
        <f t="array" ref="AN37">INDEX(Formulas!$R$24:$W$64,MATCH($B37,Formulas!$Q$24:$Q$64,0),MATCH(AN$1,Formulas!$R$23:$W$23,0))</f>
        <v>#REF!</v>
      </c>
      <c r="AO37" s="219">
        <f t="array" ref="AO37">INDEX(Formulas!$G$24:$O$27,MATCH($C37,Formulas!$F$24:$F$27,0),MATCH(AO$1,Formulas!$G$23:$O$23,0))*45</f>
        <v>0.31896</v>
      </c>
      <c r="AP37" s="219">
        <f>VLOOKUP($C37,Formulas!$K$31:$L$34,2,FALSE)</f>
        <v>0.4</v>
      </c>
      <c r="AQ37" s="219">
        <f ca="1" t="shared" si="9"/>
        <v>0.6585784914</v>
      </c>
      <c r="AR37" s="230" t="e">
        <f>VLOOKUP(AR$1,Formulas!$F$47:$G$55,2,FALSE)*($E37+AN37+AO37)</f>
        <v>#REF!</v>
      </c>
      <c r="AS37" s="219">
        <f ca="1" t="shared" si="10"/>
        <v>0.3292892457</v>
      </c>
      <c r="AT37" s="219">
        <f ca="1" t="shared" si="11"/>
        <v>3.292892457</v>
      </c>
      <c r="AU37" s="225">
        <f ca="1">VLOOKUP(AU$1,Formulas!$I$31:$J$39,2,FALSE)*AT37</f>
        <v>2239.166871</v>
      </c>
      <c r="AV37" s="226">
        <v>1900</v>
      </c>
      <c r="AW37" s="226" t="s">
        <v>283</v>
      </c>
      <c r="AY37" s="219" t="e">
        <f t="array" ref="AY37">INDEX(Formulas!$R$24:$W$64,MATCH($B37,Formulas!$Q$24:$Q$64,0),MATCH(AY$1,Formulas!$R$23:$W$23,0))</f>
        <v>#REF!</v>
      </c>
      <c r="AZ37" s="219">
        <f t="array" ref="AZ37">INDEX(Formulas!$G$24:$O$27,MATCH($C37,Formulas!$F$24:$F$27,0),MATCH(AZ$1,Formulas!$G$23:$O$23,0))*45</f>
        <v>0.227835</v>
      </c>
      <c r="BA37" s="219">
        <f>VLOOKUP($C37,Formulas!$K$31:$L$34,2,FALSE)</f>
        <v>0.4</v>
      </c>
      <c r="BB37" s="219">
        <f ca="1" t="shared" si="12"/>
        <v>0.6333934571</v>
      </c>
      <c r="BC37" s="230" t="e">
        <f>VLOOKUP(BC$1,Formulas!$F$47:$G$55,2,FALSE)*($E37+AY37+AZ37)</f>
        <v>#REF!</v>
      </c>
      <c r="BD37" s="219">
        <f ca="1" t="shared" si="13"/>
        <v>0.3166967286</v>
      </c>
      <c r="BE37" s="219">
        <f ca="1" t="shared" si="14"/>
        <v>3.166967286</v>
      </c>
      <c r="BF37" s="225">
        <f ca="1">VLOOKUP(BF$1,Formulas!$I$31:$J$39,2,FALSE)*BE37</f>
        <v>2153.537754</v>
      </c>
      <c r="BG37" s="226"/>
      <c r="BH37" s="226"/>
      <c r="BJ37" s="219" t="e">
        <f t="array" ref="BJ37">INDEX(Formulas!$R$24:$W$64,MATCH($B37,Formulas!$Q$24:$Q$64,0),MATCH(BJ$1,Formulas!$R$23:$W$23,0))</f>
        <v>#REF!</v>
      </c>
      <c r="BK37" s="219">
        <f t="array" ref="BK37">INDEX(Formulas!$G$24:$O$27,MATCH($C37,Formulas!$F$24:$F$27,0),MATCH(BK$1,Formulas!$G$23:$O$23,0))*45</f>
        <v>0.227835</v>
      </c>
      <c r="BL37" s="219">
        <f>VLOOKUP($C37,Formulas!$K$31:$L$34,2,FALSE)</f>
        <v>0.4</v>
      </c>
      <c r="BM37" s="219">
        <f ca="1" t="shared" si="15"/>
        <v>0.5927806357</v>
      </c>
      <c r="BN37" s="230" t="e">
        <f>VLOOKUP(BN$1,Formulas!$F$47:$G$55,2,FALSE)*($E37+BJ37+BK37)</f>
        <v>#REF!</v>
      </c>
      <c r="BO37" s="219">
        <f ca="1" t="shared" si="16"/>
        <v>0.2963903179</v>
      </c>
      <c r="BP37" s="219">
        <f ca="1" t="shared" si="17"/>
        <v>2.963903179</v>
      </c>
      <c r="BQ37" s="225">
        <f ca="1">VLOOKUP(BQ$1,Formulas!$I$31:$J$39,2,FALSE)*BP37</f>
        <v>37.04878973</v>
      </c>
      <c r="BR37" s="226">
        <v>30</v>
      </c>
      <c r="BS37" s="226" t="s">
        <v>302</v>
      </c>
      <c r="BT37" s="225"/>
    </row>
    <row r="38" ht="12.5" spans="2:72">
      <c r="B38" s="52" t="e">
        <f>#REF!</f>
        <v>#REF!</v>
      </c>
      <c r="C38" s="52" t="s">
        <v>34</v>
      </c>
      <c r="D38" s="218">
        <v>0.08</v>
      </c>
      <c r="E38" s="219" t="e">
        <f>#REF!</f>
        <v>#REF!</v>
      </c>
      <c r="G38" s="219" t="e">
        <f t="array" ref="G38">INDEX(Formulas!$R$24:$W$64,MATCH($B38,Formulas!$Q$24:$Q$64,0),MATCH(G$1,Formulas!$R$23:$W$23,0))</f>
        <v>#REF!</v>
      </c>
      <c r="H38" s="219">
        <f t="array" ref="H38">INDEX(Formulas!$G$24:$O$27,MATCH($C38,Formulas!$F$24:$F$27,0),MATCH(H$1,Formulas!$G$23:$O$23,0))*45</f>
        <v>0.8505</v>
      </c>
      <c r="I38" s="219">
        <f>VLOOKUP($C38,Formulas!$K$31:$L$34,2,FALSE)</f>
        <v>0.6</v>
      </c>
      <c r="J38" s="219">
        <f ca="1" t="shared" si="0"/>
        <v>0.8074914439</v>
      </c>
      <c r="K38" s="219" t="e">
        <f>VLOOKUP(K$1,Formulas!$F$47:$G$55,2,FALSE)*($E38+G38+H38)</f>
        <v>#REF!</v>
      </c>
      <c r="L38" s="219">
        <f ca="1" t="shared" si="1"/>
        <v>1.009364305</v>
      </c>
      <c r="M38" s="219">
        <f ca="1" t="shared" si="2"/>
        <v>10.09364305</v>
      </c>
      <c r="N38" s="225">
        <f ca="1">VLOOKUP(N$1,Formulas!$I$31:$J$39,2,FALSE)*M38</f>
        <v>9286.151605</v>
      </c>
      <c r="O38" s="226">
        <v>3000</v>
      </c>
      <c r="P38" s="226" t="s">
        <v>283</v>
      </c>
      <c r="R38" s="219" t="e">
        <f t="array" ref="R38">INDEX(Formulas!$R$24:$W$64,MATCH($B38,Formulas!$Q$24:$Q$64,0),MATCH(R$1,Formulas!$R$23:$W$23,0))</f>
        <v>#REF!</v>
      </c>
      <c r="S38" s="219">
        <f t="array" ref="S38">INDEX(Formulas!$G$24:$O$27,MATCH($C38,Formulas!$F$24:$F$27,0),MATCH(S$1,Formulas!$G$23:$O$23,0))*45</f>
        <v>0.6075</v>
      </c>
      <c r="T38" s="219">
        <f>VLOOKUP($C38,Formulas!$K$31:$L$34,2,FALSE)</f>
        <v>0.6</v>
      </c>
      <c r="U38" s="219">
        <f ca="1" t="shared" si="3"/>
        <v>0.8486617346</v>
      </c>
      <c r="V38" s="230" t="e">
        <f>VLOOKUP(V$1,Formulas!$F$47:$G$55,2,FALSE)*($E38+R38+S38)</f>
        <v>#REF!</v>
      </c>
      <c r="W38" s="219">
        <f ca="1" t="shared" si="4"/>
        <v>1.060827168</v>
      </c>
      <c r="X38" s="219">
        <f ca="1" t="shared" si="5"/>
        <v>10.60827168</v>
      </c>
      <c r="Y38" s="225">
        <f ca="1">VLOOKUP(Y$1,Formulas!$I$31:$J$39,2,FALSE)*X38</f>
        <v>1570.024209</v>
      </c>
      <c r="Z38" s="226"/>
      <c r="AA38" s="226"/>
      <c r="AC38" s="219" t="e">
        <f t="array" ref="AC38">INDEX(Formulas!$R$24:$W$64,MATCH($B38,Formulas!$Q$24:$Q$64,0),MATCH(AC$1,Formulas!$R$23:$W$23,0))</f>
        <v>#REF!</v>
      </c>
      <c r="AD38" s="219">
        <f t="array" ref="AD38">INDEX(Formulas!$G$24:$O$27,MATCH($C38,Formulas!$F$24:$F$27,0),MATCH(AD$1,Formulas!$G$23:$O$23,0))*45</f>
        <v>0.6075</v>
      </c>
      <c r="AE38" s="219">
        <f>VLOOKUP($C38,Formulas!$K$31:$L$34,2,FALSE)</f>
        <v>0.6</v>
      </c>
      <c r="AF38" s="219">
        <f ca="1" t="shared" si="6"/>
        <v>1.010938829</v>
      </c>
      <c r="AG38" s="230" t="e">
        <f>VLOOKUP(AG$1,Formulas!$F$47:$G$55,2,FALSE)*($E38+AC38+AD38)</f>
        <v>#REF!</v>
      </c>
      <c r="AH38" s="219">
        <f ca="1" t="shared" si="7"/>
        <v>1.263673537</v>
      </c>
      <c r="AI38" s="219">
        <f ca="1" t="shared" si="8"/>
        <v>12.63673537</v>
      </c>
      <c r="AJ38" s="225">
        <f ca="1">VLOOKUP(AJ$1,Formulas!$I$31:$J$39,2,FALSE)*AI38</f>
        <v>48019.59439</v>
      </c>
      <c r="AK38" s="226"/>
      <c r="AL38" s="226" t="s">
        <v>301</v>
      </c>
      <c r="AN38" s="219" t="e">
        <f t="array" ref="AN38">INDEX(Formulas!$R$24:$W$64,MATCH($B38,Formulas!$Q$24:$Q$64,0),MATCH(AN$1,Formulas!$R$23:$W$23,0))</f>
        <v>#REF!</v>
      </c>
      <c r="AO38" s="219">
        <f t="array" ref="AO38">INDEX(Formulas!$G$24:$O$27,MATCH($C38,Formulas!$F$24:$F$27,0),MATCH(AO$1,Formulas!$G$23:$O$23,0))*45</f>
        <v>0.8505</v>
      </c>
      <c r="AP38" s="219">
        <f>VLOOKUP($C38,Formulas!$K$31:$L$34,2,FALSE)</f>
        <v>0.6</v>
      </c>
      <c r="AQ38" s="219">
        <f ca="1" t="shared" si="9"/>
        <v>0.7812303083</v>
      </c>
      <c r="AR38" s="230" t="e">
        <f>VLOOKUP(AR$1,Formulas!$F$47:$G$55,2,FALSE)*($E38+AN38+AO38)</f>
        <v>#REF!</v>
      </c>
      <c r="AS38" s="219">
        <f ca="1" t="shared" si="10"/>
        <v>0.9765378854</v>
      </c>
      <c r="AT38" s="219">
        <f ca="1" t="shared" si="11"/>
        <v>9.765378854</v>
      </c>
      <c r="AU38" s="225">
        <f ca="1">VLOOKUP(AU$1,Formulas!$I$31:$J$39,2,FALSE)*AT38</f>
        <v>6640.45762</v>
      </c>
      <c r="AV38" s="226">
        <v>7900</v>
      </c>
      <c r="AW38" s="226" t="s">
        <v>283</v>
      </c>
      <c r="AY38" s="219" t="e">
        <f t="array" ref="AY38">INDEX(Formulas!$R$24:$W$64,MATCH($B38,Formulas!$Q$24:$Q$64,0),MATCH(AY$1,Formulas!$R$23:$W$23,0))</f>
        <v>#REF!</v>
      </c>
      <c r="AZ38" s="219">
        <f t="array" ref="AZ38">INDEX(Formulas!$G$24:$O$27,MATCH($C38,Formulas!$F$24:$F$27,0),MATCH(AZ$1,Formulas!$G$23:$O$23,0))*45</f>
        <v>0.6075</v>
      </c>
      <c r="BA38" s="219">
        <f>VLOOKUP($C38,Formulas!$K$31:$L$34,2,FALSE)</f>
        <v>0.6</v>
      </c>
      <c r="BB38" s="219">
        <f ca="1" t="shared" si="12"/>
        <v>0.7603486244</v>
      </c>
      <c r="BC38" s="230" t="e">
        <f>VLOOKUP(BC$1,Formulas!$F$47:$G$55,2,FALSE)*($E38+AY38+AZ38)</f>
        <v>#REF!</v>
      </c>
      <c r="BD38" s="219">
        <f ca="1" t="shared" si="13"/>
        <v>0.9504357805</v>
      </c>
      <c r="BE38" s="219">
        <f ca="1" t="shared" si="14"/>
        <v>9.504357805</v>
      </c>
      <c r="BF38" s="225">
        <f ca="1">VLOOKUP(BF$1,Formulas!$I$31:$J$39,2,FALSE)*BE38</f>
        <v>6462.963307</v>
      </c>
      <c r="BG38" s="226">
        <v>7900</v>
      </c>
      <c r="BH38" s="226" t="s">
        <v>283</v>
      </c>
      <c r="BJ38" s="219" t="e">
        <f t="array" ref="BJ38">INDEX(Formulas!$R$24:$W$64,MATCH($B38,Formulas!$Q$24:$Q$64,0),MATCH(BJ$1,Formulas!$R$23:$W$23,0))</f>
        <v>#REF!</v>
      </c>
      <c r="BK38" s="219">
        <f t="array" ref="BK38">INDEX(Formulas!$G$24:$O$27,MATCH($C38,Formulas!$F$24:$F$27,0),MATCH(BK$1,Formulas!$G$23:$O$23,0))*45</f>
        <v>0.6075</v>
      </c>
      <c r="BL38" s="219">
        <f>VLOOKUP($C38,Formulas!$K$31:$L$34,2,FALSE)</f>
        <v>0.6</v>
      </c>
      <c r="BM38" s="219">
        <f ca="1" t="shared" si="15"/>
        <v>0.7541050024</v>
      </c>
      <c r="BN38" s="230" t="e">
        <f>VLOOKUP(BN$1,Formulas!$F$47:$G$55,2,FALSE)*($E38+BJ38+BK38)</f>
        <v>#REF!</v>
      </c>
      <c r="BO38" s="219">
        <f ca="1" t="shared" si="16"/>
        <v>0.942631253</v>
      </c>
      <c r="BP38" s="219">
        <f ca="1" t="shared" si="17"/>
        <v>9.42631253</v>
      </c>
      <c r="BQ38" s="225">
        <f ca="1">VLOOKUP(BQ$1,Formulas!$I$31:$J$39,2,FALSE)*BP38</f>
        <v>117.8289066</v>
      </c>
      <c r="BR38" s="226">
        <v>193</v>
      </c>
      <c r="BS38" s="226" t="s">
        <v>303</v>
      </c>
      <c r="BT38" s="225"/>
    </row>
    <row r="39" ht="12.5" spans="2:72">
      <c r="B39" s="52" t="e">
        <f>#REF!</f>
        <v>#REF!</v>
      </c>
      <c r="C39" s="52" t="s">
        <v>3</v>
      </c>
      <c r="D39" s="218">
        <v>0.15</v>
      </c>
      <c r="E39" s="219" t="e">
        <f>#REF!</f>
        <v>#REF!</v>
      </c>
      <c r="G39" s="219" t="e">
        <f t="array" ref="G39">INDEX(Formulas!$R$24:$W$64,MATCH($B39,Formulas!$Q$24:$Q$64,0),MATCH(G$1,Formulas!$R$23:$W$23,0))</f>
        <v>#REF!</v>
      </c>
      <c r="H39" s="219">
        <f t="array" ref="H39">INDEX(Formulas!$G$24:$O$27,MATCH($C39,Formulas!$F$24:$F$27,0),MATCH(H$1,Formulas!$G$23:$O$23,0))*45</f>
        <v>0.31896</v>
      </c>
      <c r="I39" s="219">
        <f>VLOOKUP($C39,Formulas!$K$31:$L$34,2,FALSE)</f>
        <v>0.4</v>
      </c>
      <c r="J39" s="219">
        <f ca="1" t="shared" si="0"/>
        <v>1.24596282</v>
      </c>
      <c r="K39" s="219" t="e">
        <f>VLOOKUP(K$1,Formulas!$F$47:$G$55,2,FALSE)*($E39+G39+H39)</f>
        <v>#REF!</v>
      </c>
      <c r="L39" s="219">
        <f ca="1" t="shared" si="1"/>
        <v>0.8306418799</v>
      </c>
      <c r="M39" s="219">
        <f ca="1" t="shared" si="2"/>
        <v>8.306418799</v>
      </c>
      <c r="N39" s="225">
        <f ca="1">VLOOKUP(N$1,Formulas!$I$31:$J$39,2,FALSE)*M39</f>
        <v>7641.905295</v>
      </c>
      <c r="O39" s="226">
        <v>3500</v>
      </c>
      <c r="P39" s="226" t="s">
        <v>283</v>
      </c>
      <c r="R39" s="219" t="e">
        <f t="array" ref="R39">INDEX(Formulas!$R$24:$W$64,MATCH($B39,Formulas!$Q$24:$Q$64,0),MATCH(R$1,Formulas!$R$23:$W$23,0))</f>
        <v>#REF!</v>
      </c>
      <c r="S39" s="219">
        <f t="array" ref="S39">INDEX(Formulas!$G$24:$O$27,MATCH($C39,Formulas!$F$24:$F$27,0),MATCH(S$1,Formulas!$G$23:$O$23,0))*45</f>
        <v>0.227835</v>
      </c>
      <c r="T39" s="219">
        <f>VLOOKUP($C39,Formulas!$K$31:$L$34,2,FALSE)</f>
        <v>0.4</v>
      </c>
      <c r="U39" s="219">
        <f ca="1" t="shared" si="3"/>
        <v>1.305508619</v>
      </c>
      <c r="V39" s="230" t="e">
        <f>VLOOKUP(V$1,Formulas!$F$47:$G$55,2,FALSE)*($E39+R39+S39)</f>
        <v>#REF!</v>
      </c>
      <c r="W39" s="219">
        <f ca="1" t="shared" si="4"/>
        <v>0.8703390793</v>
      </c>
      <c r="X39" s="219">
        <f ca="1" t="shared" si="5"/>
        <v>8.703390793</v>
      </c>
      <c r="Y39" s="225">
        <f ca="1">VLOOKUP(Y$1,Formulas!$I$31:$J$39,2,FALSE)*X39</f>
        <v>1288.101837</v>
      </c>
      <c r="Z39" s="226">
        <v>599</v>
      </c>
      <c r="AA39" s="226" t="s">
        <v>304</v>
      </c>
      <c r="AC39" s="219" t="e">
        <f t="array" ref="AC39">INDEX(Formulas!$R$24:$W$64,MATCH($B39,Formulas!$Q$24:$Q$64,0),MATCH(AC$1,Formulas!$R$23:$W$23,0))</f>
        <v>#REF!</v>
      </c>
      <c r="AD39" s="219">
        <f t="array" ref="AD39">INDEX(Formulas!$G$24:$O$27,MATCH($C39,Formulas!$F$24:$F$27,0),MATCH(AD$1,Formulas!$G$23:$O$23,0))*45</f>
        <v>0.227835</v>
      </c>
      <c r="AE39" s="219">
        <f>VLOOKUP($C39,Formulas!$K$31:$L$34,2,FALSE)</f>
        <v>0.4</v>
      </c>
      <c r="AF39" s="219">
        <f ca="1" t="shared" si="6"/>
        <v>1.409100546</v>
      </c>
      <c r="AG39" s="230" t="e">
        <f>VLOOKUP(AG$1,Formulas!$F$47:$G$55,2,FALSE)*($E39+AC39+AD39)</f>
        <v>#REF!</v>
      </c>
      <c r="AH39" s="219">
        <f ca="1" t="shared" si="7"/>
        <v>0.9394003643</v>
      </c>
      <c r="AI39" s="219">
        <f ca="1" t="shared" si="8"/>
        <v>9.394003643</v>
      </c>
      <c r="AJ39" s="225">
        <f ca="1">VLOOKUP(AJ$1,Formulas!$I$31:$J$39,2,FALSE)*AI39</f>
        <v>35697.21384</v>
      </c>
      <c r="AK39" s="226"/>
      <c r="AL39" s="226" t="s">
        <v>294</v>
      </c>
      <c r="AN39" s="219" t="e">
        <f t="array" ref="AN39">INDEX(Formulas!$R$24:$W$64,MATCH($B39,Formulas!$Q$24:$Q$64,0),MATCH(AN$1,Formulas!$R$23:$W$23,0))</f>
        <v>#REF!</v>
      </c>
      <c r="AO39" s="219">
        <f t="array" ref="AO39">INDEX(Formulas!$G$24:$O$27,MATCH($C39,Formulas!$F$24:$F$27,0),MATCH(AO$1,Formulas!$G$23:$O$23,0))*45</f>
        <v>0.31896</v>
      </c>
      <c r="AP39" s="219">
        <f>VLOOKUP($C39,Formulas!$K$31:$L$34,2,FALSE)</f>
        <v>0.4</v>
      </c>
      <c r="AQ39" s="219">
        <f ca="1" t="shared" si="9"/>
        <v>1.204267923</v>
      </c>
      <c r="AR39" s="230" t="e">
        <f>VLOOKUP(AR$1,Formulas!$F$47:$G$55,2,FALSE)*($E39+AN39+AO39)</f>
        <v>#REF!</v>
      </c>
      <c r="AS39" s="219">
        <f ca="1" t="shared" si="10"/>
        <v>0.8028452818</v>
      </c>
      <c r="AT39" s="219">
        <f ca="1" t="shared" si="11"/>
        <v>8.028452818</v>
      </c>
      <c r="AU39" s="225">
        <f ca="1">VLOOKUP(AU$1,Formulas!$I$31:$J$39,2,FALSE)*AT39</f>
        <v>5459.347916</v>
      </c>
      <c r="AV39" s="226">
        <v>3500</v>
      </c>
      <c r="AW39" s="226" t="s">
        <v>283</v>
      </c>
      <c r="AY39" s="219" t="e">
        <f t="array" ref="AY39">INDEX(Formulas!$R$24:$W$64,MATCH($B39,Formulas!$Q$24:$Q$64,0),MATCH(AY$1,Formulas!$R$23:$W$23,0))</f>
        <v>#REF!</v>
      </c>
      <c r="AZ39" s="219">
        <f t="array" ref="AZ39">INDEX(Formulas!$G$24:$O$27,MATCH($C39,Formulas!$F$24:$F$27,0),MATCH(AZ$1,Formulas!$G$23:$O$23,0))*45</f>
        <v>0.227835</v>
      </c>
      <c r="BA39" s="219">
        <f>VLOOKUP($C39,Formulas!$K$31:$L$34,2,FALSE)</f>
        <v>0.4</v>
      </c>
      <c r="BB39" s="219">
        <f ca="1" t="shared" si="12"/>
        <v>1.192420129</v>
      </c>
      <c r="BC39" s="230" t="e">
        <f>VLOOKUP(BC$1,Formulas!$F$47:$G$55,2,FALSE)*($E39+AY39+AZ39)</f>
        <v>#REF!</v>
      </c>
      <c r="BD39" s="219">
        <f ca="1" t="shared" si="13"/>
        <v>0.7949467527</v>
      </c>
      <c r="BE39" s="219">
        <f ca="1" t="shared" si="14"/>
        <v>7.949467527</v>
      </c>
      <c r="BF39" s="225">
        <f ca="1">VLOOKUP(BF$1,Formulas!$I$31:$J$39,2,FALSE)*BE39</f>
        <v>5405.637919</v>
      </c>
      <c r="BG39" s="226">
        <v>3500</v>
      </c>
      <c r="BH39" s="226" t="s">
        <v>283</v>
      </c>
      <c r="BJ39" s="219" t="e">
        <f t="array" ref="BJ39">INDEX(Formulas!$R$24:$W$64,MATCH($B39,Formulas!$Q$24:$Q$64,0),MATCH(BJ$1,Formulas!$R$23:$W$23,0))</f>
        <v>#REF!</v>
      </c>
      <c r="BK39" s="219">
        <f t="array" ref="BK39">INDEX(Formulas!$G$24:$O$27,MATCH($C39,Formulas!$F$24:$F$27,0),MATCH(BK$1,Formulas!$G$23:$O$23,0))*45</f>
        <v>0.227835</v>
      </c>
      <c r="BL39" s="219">
        <f>VLOOKUP($C39,Formulas!$K$31:$L$34,2,FALSE)</f>
        <v>0.4</v>
      </c>
      <c r="BM39" s="219">
        <f ca="1" t="shared" si="15"/>
        <v>1.222793355</v>
      </c>
      <c r="BN39" s="230" t="e">
        <f>VLOOKUP(BN$1,Formulas!$F$47:$G$55,2,FALSE)*($E39+BJ39+BK39)</f>
        <v>#REF!</v>
      </c>
      <c r="BO39" s="219">
        <f ca="1" t="shared" si="16"/>
        <v>0.8151955699</v>
      </c>
      <c r="BP39" s="219">
        <f ca="1" t="shared" si="17"/>
        <v>8.151955699</v>
      </c>
      <c r="BQ39" s="225">
        <f ca="1">VLOOKUP(BQ$1,Formulas!$I$31:$J$39,2,FALSE)*BP39</f>
        <v>101.8994462</v>
      </c>
      <c r="BR39" s="226"/>
      <c r="BS39" s="226" t="s">
        <v>283</v>
      </c>
      <c r="BT39" s="225"/>
    </row>
    <row r="40" ht="12.5" spans="2:72">
      <c r="B40" s="52" t="e">
        <f>#REF!</f>
        <v>#REF!</v>
      </c>
      <c r="C40" s="52" t="s">
        <v>3</v>
      </c>
      <c r="D40" s="218">
        <v>0.08</v>
      </c>
      <c r="E40" s="219" t="e">
        <f>#REF!</f>
        <v>#REF!</v>
      </c>
      <c r="G40" s="219" t="e">
        <f t="array" ref="G40">INDEX(Formulas!$R$24:$W$64,MATCH($B40,Formulas!$Q$24:$Q$64,0),MATCH(G$1,Formulas!$R$23:$W$23,0))</f>
        <v>#REF!</v>
      </c>
      <c r="H40" s="219">
        <f t="array" ref="H40">INDEX(Formulas!$G$24:$O$27,MATCH($C40,Formulas!$F$24:$F$27,0),MATCH(H$1,Formulas!$G$23:$O$23,0))*45</f>
        <v>0.31896</v>
      </c>
      <c r="I40" s="219">
        <f>VLOOKUP($C40,Formulas!$K$31:$L$34,2,FALSE)</f>
        <v>0.4</v>
      </c>
      <c r="J40" s="219">
        <f ca="1" t="shared" si="0"/>
        <v>0.4899875193</v>
      </c>
      <c r="K40" s="219" t="e">
        <f>VLOOKUP(K$1,Formulas!$F$47:$G$55,2,FALSE)*($E40+G40+H40)</f>
        <v>#REF!</v>
      </c>
      <c r="L40" s="219">
        <f ca="1" t="shared" si="1"/>
        <v>0.6124843991</v>
      </c>
      <c r="M40" s="219">
        <f ca="1" t="shared" si="2"/>
        <v>6.124843991</v>
      </c>
      <c r="N40" s="225">
        <f ca="1">VLOOKUP(N$1,Formulas!$I$31:$J$39,2,FALSE)*M40</f>
        <v>5634.856472</v>
      </c>
      <c r="O40" s="226">
        <v>3500</v>
      </c>
      <c r="P40" s="226" t="s">
        <v>283</v>
      </c>
      <c r="R40" s="219" t="e">
        <f t="array" ref="R40">INDEX(Formulas!$R$24:$W$64,MATCH($B40,Formulas!$Q$24:$Q$64,0),MATCH(R$1,Formulas!$R$23:$W$23,0))</f>
        <v>#REF!</v>
      </c>
      <c r="S40" s="219">
        <f t="array" ref="S40">INDEX(Formulas!$G$24:$O$27,MATCH($C40,Formulas!$F$24:$F$27,0),MATCH(S$1,Formulas!$G$23:$O$23,0))*45</f>
        <v>0.227835</v>
      </c>
      <c r="T40" s="219">
        <f>VLOOKUP($C40,Formulas!$K$31:$L$34,2,FALSE)</f>
        <v>0.4</v>
      </c>
      <c r="U40" s="219">
        <f ca="1" t="shared" si="3"/>
        <v>0.541096635</v>
      </c>
      <c r="V40" s="230" t="e">
        <f>VLOOKUP(V$1,Formulas!$F$47:$G$55,2,FALSE)*($E40+R40+S40)</f>
        <v>#REF!</v>
      </c>
      <c r="W40" s="219">
        <f ca="1" t="shared" si="4"/>
        <v>0.6763707938</v>
      </c>
      <c r="X40" s="219">
        <f ca="1" t="shared" si="5"/>
        <v>6.763707938</v>
      </c>
      <c r="Y40" s="225">
        <f ca="1">VLOOKUP(Y$1,Formulas!$I$31:$J$39,2,FALSE)*X40</f>
        <v>1001.028775</v>
      </c>
      <c r="Z40" s="226"/>
      <c r="AA40" s="226" t="s">
        <v>283</v>
      </c>
      <c r="AC40" s="219" t="e">
        <f t="array" ref="AC40">INDEX(Formulas!$R$24:$W$64,MATCH($B40,Formulas!$Q$24:$Q$64,0),MATCH(AC$1,Formulas!$R$23:$W$23,0))</f>
        <v>#REF!</v>
      </c>
      <c r="AD40" s="219">
        <f t="array" ref="AD40">INDEX(Formulas!$G$24:$O$27,MATCH($C40,Formulas!$F$24:$F$27,0),MATCH(AD$1,Formulas!$G$23:$O$23,0))*45</f>
        <v>0.227835</v>
      </c>
      <c r="AE40" s="219">
        <f>VLOOKUP($C40,Formulas!$K$31:$L$34,2,FALSE)</f>
        <v>0.4</v>
      </c>
      <c r="AF40" s="219">
        <f ca="1" t="shared" si="6"/>
        <v>0.7539890041</v>
      </c>
      <c r="AG40" s="230" t="e">
        <f>VLOOKUP(AG$1,Formulas!$F$47:$G$55,2,FALSE)*($E40+AC40+AD40)</f>
        <v>#REF!</v>
      </c>
      <c r="AH40" s="219">
        <f ca="1" t="shared" si="7"/>
        <v>0.9424862551</v>
      </c>
      <c r="AI40" s="219">
        <f ca="1" t="shared" si="8"/>
        <v>9.424862551</v>
      </c>
      <c r="AJ40" s="225">
        <f ca="1">VLOOKUP(AJ$1,Formulas!$I$31:$J$39,2,FALSE)*AI40</f>
        <v>35814.47769</v>
      </c>
      <c r="AK40" s="226"/>
      <c r="AL40" s="226" t="s">
        <v>294</v>
      </c>
      <c r="AN40" s="219" t="e">
        <f t="array" ref="AN40">INDEX(Formulas!$R$24:$W$64,MATCH($B40,Formulas!$Q$24:$Q$64,0),MATCH(AN$1,Formulas!$R$23:$W$23,0))</f>
        <v>#REF!</v>
      </c>
      <c r="AO40" s="219">
        <f t="array" ref="AO40">INDEX(Formulas!$G$24:$O$27,MATCH($C40,Formulas!$F$24:$F$27,0),MATCH(AO$1,Formulas!$G$23:$O$23,0))*45</f>
        <v>0.31896</v>
      </c>
      <c r="AP40" s="219">
        <f>VLOOKUP($C40,Formulas!$K$31:$L$34,2,FALSE)</f>
        <v>0.4</v>
      </c>
      <c r="AQ40" s="219">
        <f ca="1" t="shared" si="9"/>
        <v>0.474810947</v>
      </c>
      <c r="AR40" s="230" t="e">
        <f>VLOOKUP(AR$1,Formulas!$F$47:$G$55,2,FALSE)*($E40+AN40+AO40)</f>
        <v>#REF!</v>
      </c>
      <c r="AS40" s="219">
        <f ca="1" t="shared" si="10"/>
        <v>0.5935136838</v>
      </c>
      <c r="AT40" s="219">
        <f ca="1" t="shared" si="11"/>
        <v>5.935136838</v>
      </c>
      <c r="AU40" s="225">
        <f ca="1">VLOOKUP(AU$1,Formulas!$I$31:$J$39,2,FALSE)*AT40</f>
        <v>4035.89305</v>
      </c>
      <c r="AV40" s="226">
        <v>3900</v>
      </c>
      <c r="AW40" s="226" t="s">
        <v>283</v>
      </c>
      <c r="AY40" s="219" t="e">
        <f t="array" ref="AY40">INDEX(Formulas!$R$24:$W$64,MATCH($B40,Formulas!$Q$24:$Q$64,0),MATCH(AY$1,Formulas!$R$23:$W$23,0))</f>
        <v>#REF!</v>
      </c>
      <c r="AZ40" s="219">
        <f t="array" ref="AZ40">INDEX(Formulas!$G$24:$O$27,MATCH($C40,Formulas!$F$24:$F$27,0),MATCH(AZ$1,Formulas!$G$23:$O$23,0))*45</f>
        <v>0.227835</v>
      </c>
      <c r="BA40" s="219">
        <f>VLOOKUP($C40,Formulas!$K$31:$L$34,2,FALSE)</f>
        <v>0.4</v>
      </c>
      <c r="BB40" s="219">
        <f ca="1" t="shared" si="12"/>
        <v>0.4672736889</v>
      </c>
      <c r="BC40" s="230" t="e">
        <f>VLOOKUP(BC$1,Formulas!$F$47:$G$55,2,FALSE)*($E40+AY40+AZ40)</f>
        <v>#REF!</v>
      </c>
      <c r="BD40" s="219">
        <f ca="1" t="shared" si="13"/>
        <v>0.5840921112</v>
      </c>
      <c r="BE40" s="219">
        <f ca="1" t="shared" si="14"/>
        <v>5.840921112</v>
      </c>
      <c r="BF40" s="225">
        <f ca="1">VLOOKUP(BF$1,Formulas!$I$31:$J$39,2,FALSE)*BE40</f>
        <v>3971.826356</v>
      </c>
      <c r="BG40" s="226">
        <v>3900</v>
      </c>
      <c r="BH40" s="226"/>
      <c r="BJ40" s="219" t="e">
        <f t="array" ref="BJ40">INDEX(Formulas!$R$24:$W$64,MATCH($B40,Formulas!$Q$24:$Q$64,0),MATCH(BJ$1,Formulas!$R$23:$W$23,0))</f>
        <v>#REF!</v>
      </c>
      <c r="BK40" s="219">
        <f t="array" ref="BK40">INDEX(Formulas!$G$24:$O$27,MATCH($C40,Formulas!$F$24:$F$27,0),MATCH(BK$1,Formulas!$G$23:$O$23,0))*45</f>
        <v>0.227835</v>
      </c>
      <c r="BL40" s="219">
        <f>VLOOKUP($C40,Formulas!$K$31:$L$34,2,FALSE)</f>
        <v>0.4</v>
      </c>
      <c r="BM40" s="219">
        <f ca="1" t="shared" si="15"/>
        <v>0.4336156435</v>
      </c>
      <c r="BN40" s="230" t="e">
        <f>VLOOKUP(BN$1,Formulas!$F$47:$G$55,2,FALSE)*($E40+BJ40+BK40)</f>
        <v>#REF!</v>
      </c>
      <c r="BO40" s="219">
        <f ca="1" t="shared" si="16"/>
        <v>0.5420195544</v>
      </c>
      <c r="BP40" s="219">
        <f ca="1" t="shared" si="17"/>
        <v>5.420195544</v>
      </c>
      <c r="BQ40" s="225">
        <f ca="1">VLOOKUP(BQ$1,Formulas!$I$31:$J$39,2,FALSE)*BP40</f>
        <v>67.7524443</v>
      </c>
      <c r="BR40" s="226">
        <v>94</v>
      </c>
      <c r="BS40" s="226" t="s">
        <v>283</v>
      </c>
      <c r="BT40" s="225"/>
    </row>
    <row r="41" ht="12.5" spans="2:72">
      <c r="B41" s="52" t="e">
        <f>#REF!</f>
        <v>#REF!</v>
      </c>
      <c r="C41" s="52" t="s">
        <v>3</v>
      </c>
      <c r="D41" s="218">
        <v>0.08</v>
      </c>
      <c r="E41" s="219" t="e">
        <f>#REF!</f>
        <v>#REF!</v>
      </c>
      <c r="G41" s="219" t="e">
        <f t="array" ref="G41">INDEX(Formulas!$R$24:$W$64,MATCH($B41,Formulas!$Q$24:$Q$64,0),MATCH(G$1,Formulas!$R$23:$W$23,0))</f>
        <v>#REF!</v>
      </c>
      <c r="H41" s="219">
        <f t="array" ref="H41">INDEX(Formulas!$G$24:$O$27,MATCH($C41,Formulas!$F$24:$F$27,0),MATCH(H$1,Formulas!$G$23:$O$23,0))*45</f>
        <v>0.31896</v>
      </c>
      <c r="I41" s="219">
        <f>VLOOKUP($C41,Formulas!$K$31:$L$34,2,FALSE)</f>
        <v>0.4</v>
      </c>
      <c r="J41" s="219">
        <f ca="1" t="shared" si="0"/>
        <v>0.3298085531</v>
      </c>
      <c r="K41" s="219" t="e">
        <f>VLOOKUP(K$1,Formulas!$F$47:$G$55,2,FALSE)*($E41+G41+H41)</f>
        <v>#REF!</v>
      </c>
      <c r="L41" s="219">
        <f ca="1" t="shared" si="1"/>
        <v>0.4122606914</v>
      </c>
      <c r="M41" s="219">
        <f ca="1" t="shared" si="2"/>
        <v>4.122606914</v>
      </c>
      <c r="N41" s="225">
        <f ca="1">VLOOKUP(N$1,Formulas!$I$31:$J$39,2,FALSE)*M41</f>
        <v>3792.798361</v>
      </c>
      <c r="O41" s="226">
        <v>3500</v>
      </c>
      <c r="P41" s="226" t="s">
        <v>283</v>
      </c>
      <c r="R41" s="219" t="e">
        <f t="array" ref="R41">INDEX(Formulas!$R$24:$W$64,MATCH($B41,Formulas!$Q$24:$Q$64,0),MATCH(R$1,Formulas!$R$23:$W$23,0))</f>
        <v>#REF!</v>
      </c>
      <c r="S41" s="219">
        <f t="array" ref="S41">INDEX(Formulas!$G$24:$O$27,MATCH($C41,Formulas!$F$24:$F$27,0),MATCH(S$1,Formulas!$G$23:$O$23,0))*45</f>
        <v>0.227835</v>
      </c>
      <c r="T41" s="219">
        <f>VLOOKUP($C41,Formulas!$K$31:$L$34,2,FALSE)</f>
        <v>0.4</v>
      </c>
      <c r="U41" s="219">
        <f ca="1" t="shared" si="3"/>
        <v>0.3386861158</v>
      </c>
      <c r="V41" s="230" t="e">
        <f>VLOOKUP(V$1,Formulas!$F$47:$G$55,2,FALSE)*($E41+R41+S41)</f>
        <v>#REF!</v>
      </c>
      <c r="W41" s="219">
        <f ca="1" t="shared" si="4"/>
        <v>0.4233576447</v>
      </c>
      <c r="X41" s="219">
        <f ca="1" t="shared" si="5"/>
        <v>4.233576447</v>
      </c>
      <c r="Y41" s="225">
        <f ca="1">VLOOKUP(Y$1,Formulas!$I$31:$J$39,2,FALSE)*X41</f>
        <v>626.5693142</v>
      </c>
      <c r="Z41" s="226"/>
      <c r="AA41" s="226" t="s">
        <v>283</v>
      </c>
      <c r="AC41" s="219" t="e">
        <f t="array" ref="AC41">INDEX(Formulas!$R$24:$W$64,MATCH($B41,Formulas!$Q$24:$Q$64,0),MATCH(AC$1,Formulas!$R$23:$W$23,0))</f>
        <v>#REF!</v>
      </c>
      <c r="AD41" s="219">
        <f t="array" ref="AD41">INDEX(Formulas!$G$24:$O$27,MATCH($C41,Formulas!$F$24:$F$27,0),MATCH(AD$1,Formulas!$G$23:$O$23,0))*45</f>
        <v>0.227835</v>
      </c>
      <c r="AE41" s="219">
        <f>VLOOKUP($C41,Formulas!$K$31:$L$34,2,FALSE)</f>
        <v>0.4</v>
      </c>
      <c r="AF41" s="219">
        <f ca="1" t="shared" si="6"/>
        <v>0.3589465787</v>
      </c>
      <c r="AG41" s="230" t="e">
        <f>VLOOKUP(AG$1,Formulas!$F$47:$G$55,2,FALSE)*($E41+AC41+AD41)</f>
        <v>#REF!</v>
      </c>
      <c r="AH41" s="219">
        <f ca="1" t="shared" si="7"/>
        <v>0.4486832234</v>
      </c>
      <c r="AI41" s="219">
        <f ca="1" t="shared" si="8"/>
        <v>4.486832234</v>
      </c>
      <c r="AJ41" s="225">
        <f ca="1">VLOOKUP(AJ$1,Formulas!$I$31:$J$39,2,FALSE)*AI41</f>
        <v>17049.96249</v>
      </c>
      <c r="AK41" s="226"/>
      <c r="AL41" s="226" t="s">
        <v>294</v>
      </c>
      <c r="AN41" s="219" t="e">
        <f t="array" ref="AN41">INDEX(Formulas!$R$24:$W$64,MATCH($B41,Formulas!$Q$24:$Q$64,0),MATCH(AN$1,Formulas!$R$23:$W$23,0))</f>
        <v>#REF!</v>
      </c>
      <c r="AO41" s="219">
        <f t="array" ref="AO41">INDEX(Formulas!$G$24:$O$27,MATCH($C41,Formulas!$F$24:$F$27,0),MATCH(AO$1,Formulas!$G$23:$O$23,0))*45</f>
        <v>0.31896</v>
      </c>
      <c r="AP41" s="219">
        <f>VLOOKUP($C41,Formulas!$K$31:$L$34,2,FALSE)</f>
        <v>0.4</v>
      </c>
      <c r="AQ41" s="219">
        <f ca="1" t="shared" si="9"/>
        <v>0.319377589</v>
      </c>
      <c r="AR41" s="230" t="e">
        <f>VLOOKUP(AR$1,Formulas!$F$47:$G$55,2,FALSE)*($E41+AN41+AO41)</f>
        <v>#REF!</v>
      </c>
      <c r="AS41" s="219">
        <f ca="1" t="shared" si="10"/>
        <v>0.3992219863</v>
      </c>
      <c r="AT41" s="219">
        <f ca="1" t="shared" si="11"/>
        <v>3.992219863</v>
      </c>
      <c r="AU41" s="225">
        <f ca="1">VLOOKUP(AU$1,Formulas!$I$31:$J$39,2,FALSE)*AT41</f>
        <v>2714.709507</v>
      </c>
      <c r="AV41" s="226">
        <v>3900</v>
      </c>
      <c r="AW41" s="226" t="s">
        <v>283</v>
      </c>
      <c r="AY41" s="219" t="e">
        <f t="array" ref="AY41">INDEX(Formulas!$R$24:$W$64,MATCH($B41,Formulas!$Q$24:$Q$64,0),MATCH(AY$1,Formulas!$R$23:$W$23,0))</f>
        <v>#REF!</v>
      </c>
      <c r="AZ41" s="219">
        <f t="array" ref="AZ41">INDEX(Formulas!$G$24:$O$27,MATCH($C41,Formulas!$F$24:$F$27,0),MATCH(AZ$1,Formulas!$G$23:$O$23,0))*45</f>
        <v>0.227835</v>
      </c>
      <c r="BA41" s="219">
        <f>VLOOKUP($C41,Formulas!$K$31:$L$34,2,FALSE)</f>
        <v>0.4</v>
      </c>
      <c r="BB41" s="219">
        <f ca="1" t="shared" si="12"/>
        <v>0.3118514054</v>
      </c>
      <c r="BC41" s="230" t="e">
        <f>VLOOKUP(BC$1,Formulas!$F$47:$G$55,2,FALSE)*($E41+AY41+AZ41)</f>
        <v>#REF!</v>
      </c>
      <c r="BD41" s="219">
        <f ca="1" t="shared" si="13"/>
        <v>0.3898142568</v>
      </c>
      <c r="BE41" s="219">
        <f ca="1" t="shared" si="14"/>
        <v>3.898142568</v>
      </c>
      <c r="BF41" s="225">
        <f ca="1">VLOOKUP(BF$1,Formulas!$I$31:$J$39,2,FALSE)*BE41</f>
        <v>2650.736946</v>
      </c>
      <c r="BG41" s="226">
        <v>3900</v>
      </c>
      <c r="BH41" s="226" t="s">
        <v>283</v>
      </c>
      <c r="BJ41" s="219" t="e">
        <f t="array" ref="BJ41">INDEX(Formulas!$R$24:$W$64,MATCH($B41,Formulas!$Q$24:$Q$64,0),MATCH(BJ$1,Formulas!$R$23:$W$23,0))</f>
        <v>#REF!</v>
      </c>
      <c r="BK41" s="219">
        <f t="array" ref="BK41">INDEX(Formulas!$G$24:$O$27,MATCH($C41,Formulas!$F$24:$F$27,0),MATCH(BK$1,Formulas!$G$23:$O$23,0))*45</f>
        <v>0.227835</v>
      </c>
      <c r="BL41" s="219">
        <f>VLOOKUP($C41,Formulas!$K$31:$L$34,2,FALSE)</f>
        <v>0.4</v>
      </c>
      <c r="BM41" s="219">
        <f ca="1" t="shared" si="15"/>
        <v>0.3206494997</v>
      </c>
      <c r="BN41" s="230" t="e">
        <f>VLOOKUP(BN$1,Formulas!$F$47:$G$55,2,FALSE)*($E41+BJ41+BK41)</f>
        <v>#REF!</v>
      </c>
      <c r="BO41" s="219">
        <f ca="1" t="shared" si="16"/>
        <v>0.4008118746</v>
      </c>
      <c r="BP41" s="219">
        <f ca="1" t="shared" si="17"/>
        <v>4.008118746</v>
      </c>
      <c r="BQ41" s="225">
        <f ca="1">VLOOKUP(BQ$1,Formulas!$I$31:$J$39,2,FALSE)*BP41</f>
        <v>50.10148433</v>
      </c>
      <c r="BR41" s="226">
        <v>51</v>
      </c>
      <c r="BS41" s="226" t="s">
        <v>283</v>
      </c>
      <c r="BT41" s="225"/>
    </row>
    <row r="42" ht="12.5" spans="2:72">
      <c r="B42" s="52" t="e">
        <f>#REF!</f>
        <v>#REF!</v>
      </c>
      <c r="C42" s="52" t="s">
        <v>3</v>
      </c>
      <c r="D42" s="218">
        <v>0.08</v>
      </c>
      <c r="E42" s="219" t="e">
        <f>#REF!</f>
        <v>#REF!</v>
      </c>
      <c r="G42" s="219" t="e">
        <f t="array" ref="G42">INDEX(Formulas!$R$24:$W$64,MATCH($B42,Formulas!$Q$24:$Q$64,0),MATCH(G$1,Formulas!$R$23:$W$23,0))</f>
        <v>#REF!</v>
      </c>
      <c r="H42" s="219">
        <f t="array" ref="H42">INDEX(Formulas!$G$24:$O$27,MATCH($C42,Formulas!$F$24:$F$27,0),MATCH(H$1,Formulas!$G$23:$O$23,0))*45</f>
        <v>0.31896</v>
      </c>
      <c r="I42" s="219">
        <f>VLOOKUP($C42,Formulas!$K$31:$L$34,2,FALSE)</f>
        <v>0.4</v>
      </c>
      <c r="J42" s="219">
        <f ca="1" t="shared" si="0"/>
        <v>0.6650156453</v>
      </c>
      <c r="K42" s="219" t="e">
        <f>VLOOKUP(K$1,Formulas!$F$47:$G$55,2,FALSE)*($E42+G42+H42)</f>
        <v>#REF!</v>
      </c>
      <c r="L42" s="219">
        <f ca="1" t="shared" si="1"/>
        <v>0.8312695566</v>
      </c>
      <c r="M42" s="219">
        <f ca="1" t="shared" si="2"/>
        <v>8.312695566</v>
      </c>
      <c r="N42" s="225">
        <f ca="1">VLOOKUP(N$1,Formulas!$I$31:$J$39,2,FALSE)*M42</f>
        <v>7647.679921</v>
      </c>
      <c r="O42" s="226">
        <v>4990</v>
      </c>
      <c r="P42" s="226" t="s">
        <v>283</v>
      </c>
      <c r="R42" s="219" t="e">
        <f t="array" ref="R42">INDEX(Formulas!$R$24:$W$64,MATCH($B42,Formulas!$Q$24:$Q$64,0),MATCH(R$1,Formulas!$R$23:$W$23,0))</f>
        <v>#REF!</v>
      </c>
      <c r="S42" s="219">
        <f t="array" ref="S42">INDEX(Formulas!$G$24:$O$27,MATCH($C42,Formulas!$F$24:$F$27,0),MATCH(S$1,Formulas!$G$23:$O$23,0))*45</f>
        <v>0.227835</v>
      </c>
      <c r="T42" s="219">
        <f>VLOOKUP($C42,Formulas!$K$31:$L$34,2,FALSE)</f>
        <v>0.4</v>
      </c>
      <c r="U42" s="219">
        <f ca="1" t="shared" si="3"/>
        <v>0.769142806</v>
      </c>
      <c r="V42" s="230" t="e">
        <f>VLOOKUP(V$1,Formulas!$F$47:$G$55,2,FALSE)*($E42+R42+S42)</f>
        <v>#REF!</v>
      </c>
      <c r="W42" s="219">
        <f ca="1" t="shared" si="4"/>
        <v>0.9614285075</v>
      </c>
      <c r="X42" s="219">
        <f ca="1" t="shared" si="5"/>
        <v>9.614285075</v>
      </c>
      <c r="Y42" s="225">
        <f ca="1">VLOOKUP(Y$1,Formulas!$I$31:$J$39,2,FALSE)*X42</f>
        <v>1422.914191</v>
      </c>
      <c r="Z42" s="226">
        <v>809</v>
      </c>
      <c r="AA42" s="226" t="s">
        <v>291</v>
      </c>
      <c r="AC42" s="219" t="e">
        <f t="array" ref="AC42">INDEX(Formulas!$R$24:$W$64,MATCH($B42,Formulas!$Q$24:$Q$64,0),MATCH(AC$1,Formulas!$R$23:$W$23,0))</f>
        <v>#REF!</v>
      </c>
      <c r="AD42" s="219">
        <f t="array" ref="AD42">INDEX(Formulas!$G$24:$O$27,MATCH($C42,Formulas!$F$24:$F$27,0),MATCH(AD$1,Formulas!$G$23:$O$23,0))*45</f>
        <v>0.227835</v>
      </c>
      <c r="AE42" s="219">
        <f>VLOOKUP($C42,Formulas!$K$31:$L$34,2,FALSE)</f>
        <v>0.4</v>
      </c>
      <c r="AF42" s="219">
        <f ca="1" t="shared" si="6"/>
        <v>1.231852456</v>
      </c>
      <c r="AG42" s="230" t="e">
        <f>VLOOKUP(AG$1,Formulas!$F$47:$G$55,2,FALSE)*($E42+AC42+AD42)</f>
        <v>#REF!</v>
      </c>
      <c r="AH42" s="219">
        <f ca="1" t="shared" si="7"/>
        <v>1.53981557</v>
      </c>
      <c r="AI42" s="219">
        <f ca="1" t="shared" si="8"/>
        <v>15.3981557</v>
      </c>
      <c r="AJ42" s="225">
        <f ca="1">VLOOKUP(AJ$1,Formulas!$I$31:$J$39,2,FALSE)*AI42</f>
        <v>58512.99166</v>
      </c>
      <c r="AK42" s="226"/>
      <c r="AL42" s="226" t="s">
        <v>294</v>
      </c>
      <c r="AN42" s="219" t="e">
        <f t="array" ref="AN42">INDEX(Formulas!$R$24:$W$64,MATCH($B42,Formulas!$Q$24:$Q$64,0),MATCH(AN$1,Formulas!$R$23:$W$23,0))</f>
        <v>#REF!</v>
      </c>
      <c r="AO42" s="219">
        <f t="array" ref="AO42">INDEX(Formulas!$G$24:$O$27,MATCH($C42,Formulas!$F$24:$F$27,0),MATCH(AO$1,Formulas!$G$23:$O$23,0))*45</f>
        <v>0.31896</v>
      </c>
      <c r="AP42" s="219">
        <f>VLOOKUP($C42,Formulas!$K$31:$L$34,2,FALSE)</f>
        <v>0.4</v>
      </c>
      <c r="AQ42" s="219">
        <f ca="1" t="shared" si="9"/>
        <v>0.6448698628</v>
      </c>
      <c r="AR42" s="230" t="e">
        <f>VLOOKUP(AR$1,Formulas!$F$47:$G$55,2,FALSE)*($E42+AN42+AO42)</f>
        <v>#REF!</v>
      </c>
      <c r="AS42" s="219">
        <f ca="1" t="shared" si="10"/>
        <v>0.8060873286</v>
      </c>
      <c r="AT42" s="219">
        <f ca="1" t="shared" si="11"/>
        <v>8.060873286</v>
      </c>
      <c r="AU42" s="225">
        <f ca="1">VLOOKUP(AU$1,Formulas!$I$31:$J$39,2,FALSE)*AT42</f>
        <v>5481.393834</v>
      </c>
      <c r="AV42" s="226"/>
      <c r="AW42" s="226" t="s">
        <v>291</v>
      </c>
      <c r="AY42" s="219" t="e">
        <f t="array" ref="AY42">INDEX(Formulas!$R$24:$W$64,MATCH($B42,Formulas!$Q$24:$Q$64,0),MATCH(AY$1,Formulas!$R$23:$W$23,0))</f>
        <v>#REF!</v>
      </c>
      <c r="AZ42" s="219">
        <f t="array" ref="AZ42">INDEX(Formulas!$G$24:$O$27,MATCH($C42,Formulas!$F$24:$F$27,0),MATCH(AZ$1,Formulas!$G$23:$O$23,0))*45</f>
        <v>0.227835</v>
      </c>
      <c r="BA42" s="219">
        <f>VLOOKUP($C42,Formulas!$K$31:$L$34,2,FALSE)</f>
        <v>0.4</v>
      </c>
      <c r="BB42" s="219">
        <f ca="1" t="shared" si="12"/>
        <v>0.637092061</v>
      </c>
      <c r="BC42" s="230" t="e">
        <f>VLOOKUP(BC$1,Formulas!$F$47:$G$55,2,FALSE)*($E42+AY42+AZ42)</f>
        <v>#REF!</v>
      </c>
      <c r="BD42" s="219">
        <f ca="1" t="shared" si="13"/>
        <v>0.7963650763</v>
      </c>
      <c r="BE42" s="219">
        <f ca="1" t="shared" si="14"/>
        <v>7.963650763</v>
      </c>
      <c r="BF42" s="225">
        <f ca="1">VLOOKUP(BF$1,Formulas!$I$31:$J$39,2,FALSE)*BE42</f>
        <v>5415.282519</v>
      </c>
      <c r="BG42" s="226">
        <v>4200</v>
      </c>
      <c r="BH42" s="226" t="s">
        <v>283</v>
      </c>
      <c r="BJ42" s="219" t="e">
        <f t="array" ref="BJ42">INDEX(Formulas!$R$24:$W$64,MATCH($B42,Formulas!$Q$24:$Q$64,0),MATCH(BJ$1,Formulas!$R$23:$W$23,0))</f>
        <v>#REF!</v>
      </c>
      <c r="BK42" s="219">
        <f t="array" ref="BK42">INDEX(Formulas!$G$24:$O$27,MATCH($C42,Formulas!$F$24:$F$27,0),MATCH(BK$1,Formulas!$G$23:$O$23,0))*45</f>
        <v>0.227835</v>
      </c>
      <c r="BL42" s="219">
        <f>VLOOKUP($C42,Formulas!$K$31:$L$34,2,FALSE)</f>
        <v>0.4</v>
      </c>
      <c r="BM42" s="219">
        <f ca="1" t="shared" si="15"/>
        <v>0.5467326493</v>
      </c>
      <c r="BN42" s="230" t="e">
        <f>VLOOKUP(BN$1,Formulas!$F$47:$G$55,2,FALSE)*($E42+BJ42+BK42)</f>
        <v>#REF!</v>
      </c>
      <c r="BO42" s="219">
        <f ca="1" t="shared" si="16"/>
        <v>0.6834158116</v>
      </c>
      <c r="BP42" s="219">
        <f ca="1" t="shared" si="17"/>
        <v>6.834158116</v>
      </c>
      <c r="BQ42" s="225">
        <f ca="1">VLOOKUP(BQ$1,Formulas!$I$31:$J$39,2,FALSE)*BP42</f>
        <v>85.42697645</v>
      </c>
      <c r="BR42" s="226">
        <v>81</v>
      </c>
      <c r="BS42" s="226" t="s">
        <v>283</v>
      </c>
      <c r="BT42" s="225"/>
    </row>
    <row r="43" ht="12.5" spans="2:72">
      <c r="B43" s="52" t="e">
        <f>#REF!</f>
        <v>#REF!</v>
      </c>
      <c r="C43" s="52" t="s">
        <v>34</v>
      </c>
      <c r="D43" s="218">
        <v>0.08</v>
      </c>
      <c r="E43" s="219" t="e">
        <f>#REF!</f>
        <v>#REF!</v>
      </c>
      <c r="G43" s="219" t="e">
        <f t="array" ref="G43">INDEX(Formulas!$R$24:$W$64,MATCH($B43,Formulas!$Q$24:$Q$64,0),MATCH(G$1,Formulas!$R$23:$W$23,0))</f>
        <v>#REF!</v>
      </c>
      <c r="H43" s="219">
        <f t="array" ref="H43">INDEX(Formulas!$G$24:$O$27,MATCH($C43,Formulas!$F$24:$F$27,0),MATCH(H$1,Formulas!$G$23:$O$23,0))*45</f>
        <v>0.8505</v>
      </c>
      <c r="I43" s="219">
        <f>VLOOKUP($C43,Formulas!$K$31:$L$34,2,FALSE)</f>
        <v>0.6</v>
      </c>
      <c r="J43" s="219">
        <f ca="1" t="shared" si="0"/>
        <v>0.8753923945</v>
      </c>
      <c r="K43" s="219" t="e">
        <f>VLOOKUP(K$1,Formulas!$F$47:$G$55,2,FALSE)*($E43+G43+H43)</f>
        <v>#REF!</v>
      </c>
      <c r="L43" s="219">
        <f ca="1" t="shared" si="1"/>
        <v>1.094240493</v>
      </c>
      <c r="M43" s="219">
        <f ca="1" t="shared" si="2"/>
        <v>10.94240493</v>
      </c>
      <c r="N43" s="225">
        <f ca="1">VLOOKUP(N$1,Formulas!$I$31:$J$39,2,FALSE)*M43</f>
        <v>10067.01254</v>
      </c>
      <c r="O43" s="226">
        <v>4500</v>
      </c>
      <c r="P43" s="226" t="s">
        <v>283</v>
      </c>
      <c r="R43" s="219" t="e">
        <f t="array" ref="R43">INDEX(Formulas!$R$24:$W$64,MATCH($B43,Formulas!$Q$24:$Q$64,0),MATCH(R$1,Formulas!$R$23:$W$23,0))</f>
        <v>#REF!</v>
      </c>
      <c r="S43" s="219">
        <f t="array" ref="S43">INDEX(Formulas!$G$24:$O$27,MATCH($C43,Formulas!$F$24:$F$27,0),MATCH(S$1,Formulas!$G$23:$O$23,0))*45</f>
        <v>0.6075</v>
      </c>
      <c r="T43" s="219">
        <f>VLOOKUP($C43,Formulas!$K$31:$L$34,2,FALSE)</f>
        <v>0.6</v>
      </c>
      <c r="U43" s="219">
        <f ca="1" t="shared" si="3"/>
        <v>0.9705378406</v>
      </c>
      <c r="V43" s="230" t="e">
        <f>VLOOKUP(V$1,Formulas!$F$47:$G$55,2,FALSE)*($E43+R43+S43)</f>
        <v>#REF!</v>
      </c>
      <c r="W43" s="219">
        <f ca="1" t="shared" si="4"/>
        <v>1.213172301</v>
      </c>
      <c r="X43" s="219">
        <f ca="1" t="shared" si="5"/>
        <v>12.13172301</v>
      </c>
      <c r="Y43" s="225">
        <f ca="1">VLOOKUP(Y$1,Formulas!$I$31:$J$39,2,FALSE)*X43</f>
        <v>1795.495005</v>
      </c>
      <c r="Z43" s="226">
        <v>859</v>
      </c>
      <c r="AA43" s="226" t="s">
        <v>291</v>
      </c>
      <c r="AC43" s="219" t="e">
        <f t="array" ref="AC43">INDEX(Formulas!$R$24:$W$64,MATCH($B43,Formulas!$Q$24:$Q$64,0),MATCH(AC$1,Formulas!$R$23:$W$23,0))</f>
        <v>#REF!</v>
      </c>
      <c r="AD43" s="219">
        <f t="array" ref="AD43">INDEX(Formulas!$G$24:$O$27,MATCH($C43,Formulas!$F$24:$F$27,0),MATCH(AD$1,Formulas!$G$23:$O$23,0))*45</f>
        <v>0.6075</v>
      </c>
      <c r="AE43" s="219">
        <f>VLOOKUP($C43,Formulas!$K$31:$L$34,2,FALSE)</f>
        <v>0.6</v>
      </c>
      <c r="AF43" s="219">
        <f ca="1" t="shared" si="6"/>
        <v>1.420930007</v>
      </c>
      <c r="AG43" s="230" t="e">
        <f>VLOOKUP(AG$1,Formulas!$F$47:$G$55,2,FALSE)*($E43+AC43+AD43)</f>
        <v>#REF!</v>
      </c>
      <c r="AH43" s="219">
        <f ca="1" t="shared" si="7"/>
        <v>1.776162509</v>
      </c>
      <c r="AI43" s="219">
        <f ca="1" t="shared" si="8"/>
        <v>17.76162509</v>
      </c>
      <c r="AJ43" s="225">
        <f ca="1">VLOOKUP(AJ$1,Formulas!$I$31:$J$39,2,FALSE)*AI43</f>
        <v>67494.17534</v>
      </c>
      <c r="AK43" s="226"/>
      <c r="AL43" s="226" t="s">
        <v>294</v>
      </c>
      <c r="AN43" s="219" t="e">
        <f t="array" ref="AN43">INDEX(Formulas!$R$24:$W$64,MATCH($B43,Formulas!$Q$24:$Q$64,0),MATCH(AN$1,Formulas!$R$23:$W$23,0))</f>
        <v>#REF!</v>
      </c>
      <c r="AO43" s="219">
        <f t="array" ref="AO43">INDEX(Formulas!$G$24:$O$27,MATCH($C43,Formulas!$F$24:$F$27,0),MATCH(AO$1,Formulas!$G$23:$O$23,0))*45</f>
        <v>0.8505</v>
      </c>
      <c r="AP43" s="219">
        <f>VLOOKUP($C43,Formulas!$K$31:$L$34,2,FALSE)</f>
        <v>0.6</v>
      </c>
      <c r="AQ43" s="219">
        <f ca="1" t="shared" si="9"/>
        <v>0.8482552365</v>
      </c>
      <c r="AR43" s="230" t="e">
        <f>VLOOKUP(AR$1,Formulas!$F$47:$G$55,2,FALSE)*($E43+AN43+AO43)</f>
        <v>#REF!</v>
      </c>
      <c r="AS43" s="219">
        <f ca="1" t="shared" si="10"/>
        <v>1.060319046</v>
      </c>
      <c r="AT43" s="219">
        <f ca="1" t="shared" si="11"/>
        <v>10.60319046</v>
      </c>
      <c r="AU43" s="225">
        <f ca="1">VLOOKUP(AU$1,Formulas!$I$31:$J$39,2,FALSE)*AT43</f>
        <v>7210.16951</v>
      </c>
      <c r="AV43" s="226">
        <v>4900</v>
      </c>
      <c r="AW43" s="226" t="s">
        <v>305</v>
      </c>
      <c r="AY43" s="219" t="e">
        <f t="array" ref="AY43">INDEX(Formulas!$R$24:$W$64,MATCH($B43,Formulas!$Q$24:$Q$64,0),MATCH(AY$1,Formulas!$R$23:$W$23,0))</f>
        <v>#REF!</v>
      </c>
      <c r="AZ43" s="219">
        <f t="array" ref="AZ43">INDEX(Formulas!$G$24:$O$27,MATCH($C43,Formulas!$F$24:$F$27,0),MATCH(AZ$1,Formulas!$G$23:$O$23,0))*45</f>
        <v>0.6075</v>
      </c>
      <c r="BA43" s="219">
        <f>VLOOKUP($C43,Formulas!$K$31:$L$34,2,FALSE)</f>
        <v>0.6</v>
      </c>
      <c r="BB43" s="219">
        <f ca="1" t="shared" si="12"/>
        <v>0.8261696122</v>
      </c>
      <c r="BC43" s="230" t="e">
        <f>VLOOKUP(BC$1,Formulas!$F$47:$G$55,2,FALSE)*($E43+AY43+AZ43)</f>
        <v>#REF!</v>
      </c>
      <c r="BD43" s="219">
        <f ca="1" t="shared" si="13"/>
        <v>1.032712015</v>
      </c>
      <c r="BE43" s="219">
        <f ca="1" t="shared" si="14"/>
        <v>10.32712015</v>
      </c>
      <c r="BF43" s="225">
        <f ca="1">VLOOKUP(BF$1,Formulas!$I$31:$J$39,2,FALSE)*BE43</f>
        <v>7022.441704</v>
      </c>
      <c r="BG43" s="226">
        <v>4900</v>
      </c>
      <c r="BH43" s="226" t="s">
        <v>305</v>
      </c>
      <c r="BJ43" s="219" t="e">
        <f t="array" ref="BJ43">INDEX(Formulas!$R$24:$W$64,MATCH($B43,Formulas!$Q$24:$Q$64,0),MATCH(BJ$1,Formulas!$R$23:$W$23,0))</f>
        <v>#REF!</v>
      </c>
      <c r="BK43" s="219">
        <f t="array" ref="BK43">INDEX(Formulas!$G$24:$O$27,MATCH($C43,Formulas!$F$24:$F$27,0),MATCH(BK$1,Formulas!$G$23:$O$23,0))*45</f>
        <v>0.6075</v>
      </c>
      <c r="BL43" s="219">
        <f>VLOOKUP($C43,Formulas!$K$31:$L$34,2,FALSE)</f>
        <v>0.6</v>
      </c>
      <c r="BM43" s="219">
        <f ca="1" t="shared" si="15"/>
        <v>0.7478077493</v>
      </c>
      <c r="BN43" s="230" t="e">
        <f>VLOOKUP(BN$1,Formulas!$F$47:$G$55,2,FALSE)*($E43+BJ43+BK43)</f>
        <v>#REF!</v>
      </c>
      <c r="BO43" s="219">
        <f ca="1" t="shared" si="16"/>
        <v>0.9347596866</v>
      </c>
      <c r="BP43" s="219">
        <f ca="1" t="shared" si="17"/>
        <v>9.347596866</v>
      </c>
      <c r="BQ43" s="225">
        <f ca="1">VLOOKUP(BQ$1,Formulas!$I$31:$J$39,2,FALSE)*BP43</f>
        <v>116.8449608</v>
      </c>
      <c r="BR43" s="226">
        <v>85</v>
      </c>
      <c r="BS43" s="226" t="s">
        <v>283</v>
      </c>
      <c r="BT43" s="225"/>
    </row>
    <row r="44" ht="12.5" spans="2:72">
      <c r="B44" s="52" t="e">
        <f>#REF!</f>
        <v>#REF!</v>
      </c>
      <c r="C44" s="52" t="s">
        <v>3</v>
      </c>
      <c r="D44" s="218">
        <v>0.2</v>
      </c>
      <c r="E44" s="219" t="e">
        <f>#REF!</f>
        <v>#REF!</v>
      </c>
      <c r="G44" s="219" t="e">
        <f t="shared" ref="G44:G47" si="18">AVERAGE(G$42:G$43)</f>
        <v>#REF!</v>
      </c>
      <c r="H44" s="219">
        <f t="array" ref="H44">INDEX(Formulas!$G$24:$O$27,MATCH($C44,Formulas!$F$24:$F$27,0),MATCH(H$1,Formulas!$G$23:$O$23,0))*45</f>
        <v>0.31896</v>
      </c>
      <c r="I44" s="219">
        <f>VLOOKUP($C44,Formulas!$K$31:$L$34,2,FALSE)</f>
        <v>0.4</v>
      </c>
      <c r="J44" s="219">
        <f ca="1" t="shared" si="0"/>
        <v>1.598105818</v>
      </c>
      <c r="K44" s="219" t="e">
        <f>VLOOKUP(K$1,Formulas!$F$47:$G$55,2,FALSE)*($E44+G44+H44)</f>
        <v>#REF!</v>
      </c>
      <c r="L44" s="219">
        <f ca="1" t="shared" si="1"/>
        <v>0.7990529091</v>
      </c>
      <c r="M44" s="219">
        <f ca="1" t="shared" si="2"/>
        <v>7.990529091</v>
      </c>
      <c r="N44" s="225">
        <f ca="1">VLOOKUP(N$1,Formulas!$I$31:$J$39,2,FALSE)*M44</f>
        <v>7351.286764</v>
      </c>
      <c r="O44" s="226">
        <v>4000</v>
      </c>
      <c r="P44" s="226" t="s">
        <v>283</v>
      </c>
      <c r="R44" s="219" t="e">
        <f t="shared" ref="R44:R47" si="19">AVERAGE(R$42:R$43)</f>
        <v>#REF!</v>
      </c>
      <c r="S44" s="219">
        <f t="array" ref="S44">INDEX(Formulas!$G$24:$O$27,MATCH($C44,Formulas!$F$24:$F$27,0),MATCH(S$1,Formulas!$G$23:$O$23,0))*45</f>
        <v>0.227835</v>
      </c>
      <c r="T44" s="219">
        <f>VLOOKUP($C44,Formulas!$K$31:$L$34,2,FALSE)</f>
        <v>0.4</v>
      </c>
      <c r="U44" s="219">
        <f ca="1" t="shared" si="3"/>
        <v>1.888649646</v>
      </c>
      <c r="V44" s="230" t="e">
        <f>VLOOKUP(V$1,Formulas!$F$47:$G$55,2,FALSE)*($E44+R44+S44)</f>
        <v>#REF!</v>
      </c>
      <c r="W44" s="219">
        <f ca="1" t="shared" si="4"/>
        <v>0.9443248231</v>
      </c>
      <c r="X44" s="219">
        <f ca="1" t="shared" si="5"/>
        <v>9.443248231</v>
      </c>
      <c r="Y44" s="225">
        <f ca="1">VLOOKUP(Y$1,Formulas!$I$31:$J$39,2,FALSE)*X44</f>
        <v>1397.600738</v>
      </c>
      <c r="Z44" s="226">
        <v>900</v>
      </c>
      <c r="AA44" s="226" t="s">
        <v>291</v>
      </c>
      <c r="AC44" s="219" t="e">
        <f t="shared" ref="AC44:AC47" si="20">AVERAGE(AC$42:AC$43)</f>
        <v>#REF!</v>
      </c>
      <c r="AD44" s="219">
        <f t="array" ref="AD44">INDEX(Formulas!$G$24:$O$27,MATCH($C44,Formulas!$F$24:$F$27,0),MATCH(AD$1,Formulas!$G$23:$O$23,0))*45</f>
        <v>0.227835</v>
      </c>
      <c r="AE44" s="219">
        <f>VLOOKUP($C44,Formulas!$K$31:$L$34,2,FALSE)</f>
        <v>0.4</v>
      </c>
      <c r="AF44" s="219">
        <f ca="1" t="shared" si="6"/>
        <v>3.268367907</v>
      </c>
      <c r="AG44" s="230" t="e">
        <f>VLOOKUP(AG$1,Formulas!$F$47:$G$55,2,FALSE)*($E44+AC44+AD44)</f>
        <v>#REF!</v>
      </c>
      <c r="AH44" s="219">
        <f ca="1" t="shared" si="7"/>
        <v>1.634183953</v>
      </c>
      <c r="AI44" s="219">
        <f ca="1" t="shared" si="8"/>
        <v>16.34183953</v>
      </c>
      <c r="AJ44" s="225">
        <f ca="1">VLOOKUP(AJ$1,Formulas!$I$31:$J$39,2,FALSE)*AI44</f>
        <v>62098.99023</v>
      </c>
      <c r="AK44" s="226"/>
      <c r="AL44" s="226" t="s">
        <v>294</v>
      </c>
      <c r="AN44" s="219" t="e">
        <f t="shared" ref="AN44:AN47" si="21">AVERAGE(AN$42:AN$43)</f>
        <v>#REF!</v>
      </c>
      <c r="AO44" s="219">
        <f t="array" ref="AO44">INDEX(Formulas!$G$24:$O$27,MATCH($C44,Formulas!$F$24:$F$27,0),MATCH(AO$1,Formulas!$G$23:$O$23,0))*45</f>
        <v>0.31896</v>
      </c>
      <c r="AP44" s="219">
        <f>VLOOKUP($C44,Formulas!$K$31:$L$34,2,FALSE)</f>
        <v>0.4</v>
      </c>
      <c r="AQ44" s="219">
        <f ca="1" t="shared" si="9"/>
        <v>1.551907455</v>
      </c>
      <c r="AR44" s="230" t="e">
        <f>VLOOKUP(AR$1,Formulas!$F$47:$G$55,2,FALSE)*($E44+AN44+AO44)</f>
        <v>#REF!</v>
      </c>
      <c r="AS44" s="219">
        <f ca="1" t="shared" si="10"/>
        <v>0.7759537277</v>
      </c>
      <c r="AT44" s="219">
        <f ca="1" t="shared" si="11"/>
        <v>7.759537277</v>
      </c>
      <c r="AU44" s="225">
        <f ca="1">VLOOKUP(AU$1,Formulas!$I$31:$J$39,2,FALSE)*AT44</f>
        <v>5276.485349</v>
      </c>
      <c r="AV44" s="226">
        <v>3900</v>
      </c>
      <c r="AW44" s="226" t="s">
        <v>283</v>
      </c>
      <c r="AY44" s="219" t="e">
        <f t="shared" ref="AY44:AY47" si="22">AVERAGE(AY$42:AY$43)</f>
        <v>#REF!</v>
      </c>
      <c r="AZ44" s="219">
        <f t="array" ref="AZ44">INDEX(Formulas!$G$24:$O$27,MATCH($C44,Formulas!$F$24:$F$27,0),MATCH(AZ$1,Formulas!$G$23:$O$23,0))*45</f>
        <v>0.227835</v>
      </c>
      <c r="BA44" s="219">
        <f>VLOOKUP($C44,Formulas!$K$31:$L$34,2,FALSE)</f>
        <v>0.4</v>
      </c>
      <c r="BB44" s="219">
        <f ca="1" t="shared" si="12"/>
        <v>1.526569607</v>
      </c>
      <c r="BC44" s="230" t="e">
        <f>VLOOKUP(BC$1,Formulas!$F$47:$G$55,2,FALSE)*($E44+AY44+AZ44)</f>
        <v>#REF!</v>
      </c>
      <c r="BD44" s="219">
        <f ca="1" t="shared" si="13"/>
        <v>0.7632848036</v>
      </c>
      <c r="BE44" s="219">
        <f ca="1" t="shared" si="14"/>
        <v>7.632848036</v>
      </c>
      <c r="BF44" s="225">
        <f ca="1">VLOOKUP(BF$1,Formulas!$I$31:$J$39,2,FALSE)*BE44</f>
        <v>5190.336665</v>
      </c>
      <c r="BG44" s="226">
        <v>3900</v>
      </c>
      <c r="BH44" s="226" t="s">
        <v>283</v>
      </c>
      <c r="BJ44" s="219" t="e">
        <f t="shared" ref="BJ44:BJ47" si="23">AVERAGE(BJ$42:BJ$43)</f>
        <v>#REF!</v>
      </c>
      <c r="BK44" s="219">
        <f t="array" ref="BK44">INDEX(Formulas!$G$24:$O$27,MATCH($C44,Formulas!$F$24:$F$27,0),MATCH(BK$1,Formulas!$G$23:$O$23,0))*45</f>
        <v>0.227835</v>
      </c>
      <c r="BL44" s="219">
        <f>VLOOKUP($C44,Formulas!$K$31:$L$34,2,FALSE)</f>
        <v>0.4</v>
      </c>
      <c r="BM44" s="219">
        <f ca="1" t="shared" si="15"/>
        <v>1.237945616</v>
      </c>
      <c r="BN44" s="230" t="e">
        <f>VLOOKUP(BN$1,Formulas!$F$47:$G$55,2,FALSE)*($E44+BJ44+BK44)</f>
        <v>#REF!</v>
      </c>
      <c r="BO44" s="219">
        <f ca="1" t="shared" si="16"/>
        <v>0.6189728079</v>
      </c>
      <c r="BP44" s="219">
        <f ca="1" t="shared" si="17"/>
        <v>6.189728079</v>
      </c>
      <c r="BQ44" s="225">
        <f ca="1">VLOOKUP(BQ$1,Formulas!$I$31:$J$39,2,FALSE)*BP44</f>
        <v>77.37160099</v>
      </c>
      <c r="BR44" s="226">
        <v>44</v>
      </c>
      <c r="BS44" s="226" t="s">
        <v>283</v>
      </c>
      <c r="BT44" s="225"/>
    </row>
    <row r="45" ht="12.5" spans="2:72">
      <c r="B45" s="52" t="e">
        <f>#REF!</f>
        <v>#REF!</v>
      </c>
      <c r="C45" s="52" t="s">
        <v>34</v>
      </c>
      <c r="D45" s="218">
        <v>0.2</v>
      </c>
      <c r="E45" s="219" t="e">
        <f>#REF!</f>
        <v>#REF!</v>
      </c>
      <c r="G45" s="219" t="e">
        <f t="shared" si="18"/>
        <v>#REF!</v>
      </c>
      <c r="H45" s="219">
        <f t="array" ref="H45">INDEX(Formulas!$G$24:$O$27,MATCH($C45,Formulas!$F$24:$F$27,0),MATCH(H$1,Formulas!$G$23:$O$23,0))*45</f>
        <v>0.8505</v>
      </c>
      <c r="I45" s="219">
        <f>VLOOKUP($C45,Formulas!$K$31:$L$34,2,FALSE)</f>
        <v>0.6</v>
      </c>
      <c r="J45" s="219">
        <f ca="1" t="shared" si="0"/>
        <v>2.179265155</v>
      </c>
      <c r="K45" s="219" t="e">
        <f>VLOOKUP(K$1,Formulas!$F$47:$G$55,2,FALSE)*($E45+G45+H45)</f>
        <v>#REF!</v>
      </c>
      <c r="L45" s="219">
        <f ca="1" t="shared" si="1"/>
        <v>1.089632578</v>
      </c>
      <c r="M45" s="219">
        <f ca="1" t="shared" si="2"/>
        <v>10.89632578</v>
      </c>
      <c r="N45" s="225">
        <f ca="1">VLOOKUP(N$1,Formulas!$I$31:$J$39,2,FALSE)*M45</f>
        <v>10024.61971</v>
      </c>
      <c r="O45" s="226">
        <v>5000</v>
      </c>
      <c r="P45" s="226" t="s">
        <v>283</v>
      </c>
      <c r="R45" s="219" t="e">
        <f t="shared" si="19"/>
        <v>#REF!</v>
      </c>
      <c r="S45" s="219">
        <f t="array" ref="S45">INDEX(Formulas!$G$24:$O$27,MATCH($C45,Formulas!$F$24:$F$27,0),MATCH(S$1,Formulas!$G$23:$O$23,0))*45</f>
        <v>0.6075</v>
      </c>
      <c r="T45" s="219">
        <f>VLOOKUP($C45,Formulas!$K$31:$L$34,2,FALSE)</f>
        <v>0.6</v>
      </c>
      <c r="U45" s="219">
        <f ca="1" t="shared" si="3"/>
        <v>2.44206539</v>
      </c>
      <c r="V45" s="230" t="e">
        <f>VLOOKUP(V$1,Formulas!$F$47:$G$55,2,FALSE)*($E45+R45+S45)</f>
        <v>#REF!</v>
      </c>
      <c r="W45" s="219">
        <f ca="1" t="shared" si="4"/>
        <v>1.221032695</v>
      </c>
      <c r="X45" s="219">
        <f ca="1" t="shared" si="5"/>
        <v>12.21032695</v>
      </c>
      <c r="Y45" s="225">
        <f ca="1">VLOOKUP(Y$1,Formulas!$I$31:$J$39,2,FALSE)*X45</f>
        <v>1807.128389</v>
      </c>
      <c r="Z45" s="226">
        <v>1199</v>
      </c>
      <c r="AA45" s="226" t="s">
        <v>291</v>
      </c>
      <c r="AC45" s="219" t="e">
        <f t="shared" si="20"/>
        <v>#REF!</v>
      </c>
      <c r="AD45" s="219">
        <f t="array" ref="AD45">INDEX(Formulas!$G$24:$O$27,MATCH($C45,Formulas!$F$24:$F$27,0),MATCH(AD$1,Formulas!$G$23:$O$23,0))*45</f>
        <v>0.6075</v>
      </c>
      <c r="AE45" s="219">
        <f>VLOOKUP($C45,Formulas!$K$31:$L$34,2,FALSE)</f>
        <v>0.6</v>
      </c>
      <c r="AF45" s="219">
        <f ca="1" t="shared" si="6"/>
        <v>3.788175021</v>
      </c>
      <c r="AG45" s="230" t="e">
        <f>VLOOKUP(AG$1,Formulas!$F$47:$G$55,2,FALSE)*($E45+AC45+AD45)</f>
        <v>#REF!</v>
      </c>
      <c r="AH45" s="219">
        <f ca="1" t="shared" si="7"/>
        <v>1.89408751</v>
      </c>
      <c r="AI45" s="219">
        <f ca="1" t="shared" si="8"/>
        <v>18.9408751</v>
      </c>
      <c r="AJ45" s="225">
        <f ca="1">VLOOKUP(AJ$1,Formulas!$I$31:$J$39,2,FALSE)*AI45</f>
        <v>71975.3254</v>
      </c>
      <c r="AK45" s="226"/>
      <c r="AL45" s="226" t="s">
        <v>301</v>
      </c>
      <c r="AN45" s="219" t="e">
        <f t="shared" si="21"/>
        <v>#REF!</v>
      </c>
      <c r="AO45" s="219">
        <f t="array" ref="AO45">INDEX(Formulas!$G$24:$O$27,MATCH($C45,Formulas!$F$24:$F$27,0),MATCH(AO$1,Formulas!$G$23:$O$23,0))*45</f>
        <v>0.8505</v>
      </c>
      <c r="AP45" s="219">
        <f>VLOOKUP($C45,Formulas!$K$31:$L$34,2,FALSE)</f>
        <v>0.6</v>
      </c>
      <c r="AQ45" s="219">
        <f ca="1" t="shared" si="9"/>
        <v>2.11387205</v>
      </c>
      <c r="AR45" s="230" t="e">
        <f>VLOOKUP(AR$1,Formulas!$F$47:$G$55,2,FALSE)*($E45+AN45+AO45)</f>
        <v>#REF!</v>
      </c>
      <c r="AS45" s="219">
        <f ca="1" t="shared" si="10"/>
        <v>1.056936025</v>
      </c>
      <c r="AT45" s="219">
        <f ca="1" t="shared" si="11"/>
        <v>10.56936025</v>
      </c>
      <c r="AU45" s="225">
        <f ca="1">VLOOKUP(AU$1,Formulas!$I$31:$J$39,2,FALSE)*AT45</f>
        <v>7187.164969</v>
      </c>
      <c r="AV45" s="226"/>
      <c r="AW45" s="226" t="s">
        <v>291</v>
      </c>
      <c r="AY45" s="219" t="e">
        <f t="shared" si="22"/>
        <v>#REF!</v>
      </c>
      <c r="AZ45" s="219">
        <f t="array" ref="AZ45">INDEX(Formulas!$G$24:$O$27,MATCH($C45,Formulas!$F$24:$F$27,0),MATCH(AZ$1,Formulas!$G$23:$O$23,0))*45</f>
        <v>0.6075</v>
      </c>
      <c r="BA45" s="219">
        <f>VLOOKUP($C45,Formulas!$K$31:$L$34,2,FALSE)</f>
        <v>0.6</v>
      </c>
      <c r="BB45" s="219">
        <f ca="1" t="shared" si="12"/>
        <v>2.046376722</v>
      </c>
      <c r="BC45" s="230" t="e">
        <f>VLOOKUP(BC$1,Formulas!$F$47:$G$55,2,FALSE)*($E45+AY45+AZ45)</f>
        <v>#REF!</v>
      </c>
      <c r="BD45" s="219">
        <f ca="1" t="shared" si="13"/>
        <v>1.023188361</v>
      </c>
      <c r="BE45" s="219">
        <f ca="1" t="shared" si="14"/>
        <v>10.23188361</v>
      </c>
      <c r="BF45" s="225">
        <f ca="1">VLOOKUP(BF$1,Formulas!$I$31:$J$39,2,FALSE)*BE45</f>
        <v>6957.680853</v>
      </c>
      <c r="BG45" s="226"/>
      <c r="BH45" s="226"/>
      <c r="BJ45" s="219" t="e">
        <f t="shared" si="23"/>
        <v>#REF!</v>
      </c>
      <c r="BK45" s="219">
        <f t="array" ref="BK45">INDEX(Formulas!$G$24:$O$27,MATCH($C45,Formulas!$F$24:$F$27,0),MATCH(BK$1,Formulas!$G$23:$O$23,0))*45</f>
        <v>0.6075</v>
      </c>
      <c r="BL45" s="219">
        <f>VLOOKUP($C45,Formulas!$K$31:$L$34,2,FALSE)</f>
        <v>0.6</v>
      </c>
      <c r="BM45" s="219">
        <f ca="1" t="shared" si="15"/>
        <v>1.790488409</v>
      </c>
      <c r="BN45" s="230" t="e">
        <f>VLOOKUP(BN$1,Formulas!$F$47:$G$55,2,FALSE)*($E45+BJ45+BK45)</f>
        <v>#REF!</v>
      </c>
      <c r="BO45" s="219">
        <f ca="1" t="shared" si="16"/>
        <v>0.8952442043</v>
      </c>
      <c r="BP45" s="219">
        <f ca="1" t="shared" si="17"/>
        <v>8.952442043</v>
      </c>
      <c r="BQ45" s="225">
        <f ca="1">VLOOKUP(BQ$1,Formulas!$I$31:$J$39,2,FALSE)*BP45</f>
        <v>111.9055255</v>
      </c>
      <c r="BR45" s="226"/>
      <c r="BS45" s="226" t="s">
        <v>291</v>
      </c>
      <c r="BT45" s="225"/>
    </row>
    <row r="46" ht="12.5" spans="2:72">
      <c r="B46" s="52" t="e">
        <f>#REF!</f>
        <v>#REF!</v>
      </c>
      <c r="C46" s="52" t="s">
        <v>34</v>
      </c>
      <c r="D46" s="218">
        <v>0.2</v>
      </c>
      <c r="E46" s="219" t="e">
        <f>#REF!</f>
        <v>#REF!</v>
      </c>
      <c r="G46" s="219" t="e">
        <f t="shared" si="18"/>
        <v>#REF!</v>
      </c>
      <c r="H46" s="219">
        <f t="array" ref="H46">INDEX(Formulas!$G$24:$O$27,MATCH($C46,Formulas!$F$24:$F$27,0),MATCH(H$1,Formulas!$G$23:$O$23,0))*45</f>
        <v>0.8505</v>
      </c>
      <c r="I46" s="219">
        <f>VLOOKUP($C46,Formulas!$K$31:$L$34,2,FALSE)</f>
        <v>0.6</v>
      </c>
      <c r="J46" s="219">
        <f ca="1" t="shared" si="0"/>
        <v>2.585489155</v>
      </c>
      <c r="K46" s="219" t="e">
        <f>VLOOKUP(K$1,Formulas!$F$47:$G$55,2,FALSE)*($E46+G46+H46)</f>
        <v>#REF!</v>
      </c>
      <c r="L46" s="219">
        <f ca="1" t="shared" si="1"/>
        <v>1.292744578</v>
      </c>
      <c r="M46" s="219">
        <f ca="1" t="shared" si="2"/>
        <v>12.92744578</v>
      </c>
      <c r="N46" s="225">
        <f ca="1">VLOOKUP(N$1,Formulas!$I$31:$J$39,2,FALSE)*M46</f>
        <v>11893.25011</v>
      </c>
      <c r="O46" s="226">
        <v>8000</v>
      </c>
      <c r="P46" s="226" t="s">
        <v>283</v>
      </c>
      <c r="R46" s="219" t="e">
        <f t="shared" si="19"/>
        <v>#REF!</v>
      </c>
      <c r="S46" s="219">
        <f t="array" ref="S46">INDEX(Formulas!$G$24:$O$27,MATCH($C46,Formulas!$F$24:$F$27,0),MATCH(S$1,Formulas!$G$23:$O$23,0))*45</f>
        <v>0.6075</v>
      </c>
      <c r="T46" s="219">
        <f>VLOOKUP($C46,Formulas!$K$31:$L$34,2,FALSE)</f>
        <v>0.6</v>
      </c>
      <c r="U46" s="219">
        <f ca="1" t="shared" si="3"/>
        <v>2.86502939</v>
      </c>
      <c r="V46" s="230" t="e">
        <f>VLOOKUP(V$1,Formulas!$F$47:$G$55,2,FALSE)*($E46+R46+S46)</f>
        <v>#REF!</v>
      </c>
      <c r="W46" s="219">
        <f ca="1" t="shared" si="4"/>
        <v>1.432514695</v>
      </c>
      <c r="X46" s="219">
        <f ca="1" t="shared" si="5"/>
        <v>14.32514695</v>
      </c>
      <c r="Y46" s="225">
        <f ca="1">VLOOKUP(Y$1,Formulas!$I$31:$J$39,2,FALSE)*X46</f>
        <v>2120.121749</v>
      </c>
      <c r="Z46" s="226">
        <v>1500</v>
      </c>
      <c r="AA46" s="226" t="s">
        <v>291</v>
      </c>
      <c r="AC46" s="219" t="e">
        <f t="shared" si="20"/>
        <v>#REF!</v>
      </c>
      <c r="AD46" s="219">
        <f t="array" ref="AD46">INDEX(Formulas!$G$24:$O$27,MATCH($C46,Formulas!$F$24:$F$27,0),MATCH(AD$1,Formulas!$G$23:$O$23,0))*45</f>
        <v>0.6075</v>
      </c>
      <c r="AE46" s="219">
        <f>VLOOKUP($C46,Formulas!$K$31:$L$34,2,FALSE)</f>
        <v>0.6</v>
      </c>
      <c r="AF46" s="219">
        <f ca="1" t="shared" si="6"/>
        <v>4.182495021</v>
      </c>
      <c r="AG46" s="230" t="e">
        <f>VLOOKUP(AG$1,Formulas!$F$47:$G$55,2,FALSE)*($E46+AC46+AD46)</f>
        <v>#REF!</v>
      </c>
      <c r="AH46" s="219">
        <f ca="1" t="shared" si="7"/>
        <v>2.09124751</v>
      </c>
      <c r="AI46" s="219">
        <f ca="1" t="shared" si="8"/>
        <v>20.9124751</v>
      </c>
      <c r="AJ46" s="225">
        <f ca="1">VLOOKUP(AJ$1,Formulas!$I$31:$J$39,2,FALSE)*AI46</f>
        <v>79467.4054</v>
      </c>
      <c r="AK46" s="226"/>
      <c r="AL46" s="226" t="s">
        <v>301</v>
      </c>
      <c r="AN46" s="219" t="e">
        <f t="shared" si="21"/>
        <v>#REF!</v>
      </c>
      <c r="AO46" s="219">
        <f t="array" ref="AO46">INDEX(Formulas!$G$24:$O$27,MATCH($C46,Formulas!$F$24:$F$27,0),MATCH(AO$1,Formulas!$G$23:$O$23,0))*45</f>
        <v>0.8505</v>
      </c>
      <c r="AP46" s="219">
        <f>VLOOKUP($C46,Formulas!$K$31:$L$34,2,FALSE)</f>
        <v>0.6</v>
      </c>
      <c r="AQ46" s="219">
        <f ca="1" t="shared" si="9"/>
        <v>2.50521605</v>
      </c>
      <c r="AR46" s="230" t="e">
        <f>VLOOKUP(AR$1,Formulas!$F$47:$G$55,2,FALSE)*($E46+AN46+AO46)</f>
        <v>#REF!</v>
      </c>
      <c r="AS46" s="219">
        <f ca="1" t="shared" si="10"/>
        <v>1.252608025</v>
      </c>
      <c r="AT46" s="219">
        <f ca="1" t="shared" si="11"/>
        <v>12.52608025</v>
      </c>
      <c r="AU46" s="225">
        <f ca="1">VLOOKUP(AU$1,Formulas!$I$31:$J$39,2,FALSE)*AT46</f>
        <v>8517.734569</v>
      </c>
      <c r="AV46" s="226"/>
      <c r="AW46" s="226" t="s">
        <v>291</v>
      </c>
      <c r="AY46" s="219" t="e">
        <f t="shared" si="22"/>
        <v>#REF!</v>
      </c>
      <c r="AZ46" s="219">
        <f t="array" ref="AZ46">INDEX(Formulas!$G$24:$O$27,MATCH($C46,Formulas!$F$24:$F$27,0),MATCH(AZ$1,Formulas!$G$23:$O$23,0))*45</f>
        <v>0.6075</v>
      </c>
      <c r="BA46" s="219">
        <f>VLOOKUP($C46,Formulas!$K$31:$L$34,2,FALSE)</f>
        <v>0.6</v>
      </c>
      <c r="BB46" s="219">
        <f ca="1" t="shared" si="12"/>
        <v>2.440696722</v>
      </c>
      <c r="BC46" s="230" t="e">
        <f>VLOOKUP(BC$1,Formulas!$F$47:$G$55,2,FALSE)*($E46+AY46+AZ46)</f>
        <v>#REF!</v>
      </c>
      <c r="BD46" s="219">
        <f ca="1" t="shared" si="13"/>
        <v>1.220348361</v>
      </c>
      <c r="BE46" s="219">
        <f ca="1" t="shared" si="14"/>
        <v>12.20348361</v>
      </c>
      <c r="BF46" s="225">
        <f ca="1">VLOOKUP(BF$1,Formulas!$I$31:$J$39,2,FALSE)*BE46</f>
        <v>8298.368853</v>
      </c>
      <c r="BG46" s="226"/>
      <c r="BH46" s="226"/>
      <c r="BJ46" s="219" t="e">
        <f t="shared" si="23"/>
        <v>#REF!</v>
      </c>
      <c r="BK46" s="219">
        <f t="array" ref="BK46">INDEX(Formulas!$G$24:$O$27,MATCH($C46,Formulas!$F$24:$F$27,0),MATCH(BK$1,Formulas!$G$23:$O$23,0))*45</f>
        <v>0.6075</v>
      </c>
      <c r="BL46" s="219">
        <f>VLOOKUP($C46,Formulas!$K$31:$L$34,2,FALSE)</f>
        <v>0.6</v>
      </c>
      <c r="BM46" s="219">
        <f ca="1" t="shared" si="15"/>
        <v>2.212708409</v>
      </c>
      <c r="BN46" s="230" t="e">
        <f>VLOOKUP(BN$1,Formulas!$F$47:$G$55,2,FALSE)*($E46+BJ46+BK46)</f>
        <v>#REF!</v>
      </c>
      <c r="BO46" s="219">
        <f ca="1" t="shared" si="16"/>
        <v>1.106354204</v>
      </c>
      <c r="BP46" s="219">
        <f ca="1" t="shared" si="17"/>
        <v>11.06354204</v>
      </c>
      <c r="BQ46" s="225">
        <f ca="1">VLOOKUP(BQ$1,Formulas!$I$31:$J$39,2,FALSE)*BP46</f>
        <v>138.2942755</v>
      </c>
      <c r="BR46" s="226"/>
      <c r="BS46" s="226" t="s">
        <v>291</v>
      </c>
      <c r="BT46" s="225"/>
    </row>
    <row r="47" ht="12.5" spans="2:72">
      <c r="B47" s="52" t="e">
        <f>#REF!</f>
        <v>#REF!</v>
      </c>
      <c r="C47" s="52" t="s">
        <v>34</v>
      </c>
      <c r="D47" s="218">
        <v>0.2</v>
      </c>
      <c r="E47" s="219" t="e">
        <f>#REF!</f>
        <v>#REF!</v>
      </c>
      <c r="G47" s="219" t="e">
        <f t="shared" si="18"/>
        <v>#REF!</v>
      </c>
      <c r="H47" s="219">
        <f t="array" ref="H47">INDEX(Formulas!$G$24:$O$27,MATCH($C47,Formulas!$F$24:$F$27,0),MATCH(H$1,Formulas!$G$23:$O$23,0))*45</f>
        <v>0.8505</v>
      </c>
      <c r="I47" s="219">
        <f>VLOOKUP($C47,Formulas!$K$31:$L$34,2,FALSE)</f>
        <v>0.6</v>
      </c>
      <c r="J47" s="219">
        <f ca="1" t="shared" si="0"/>
        <v>3.218849155</v>
      </c>
      <c r="K47" s="219" t="e">
        <f>VLOOKUP(K$1,Formulas!$F$47:$G$55,2,FALSE)*($E47+G47+H47)</f>
        <v>#REF!</v>
      </c>
      <c r="L47" s="219">
        <f ca="1" t="shared" si="1"/>
        <v>1.609424578</v>
      </c>
      <c r="M47" s="219">
        <f ca="1" t="shared" si="2"/>
        <v>16.09424578</v>
      </c>
      <c r="N47" s="225">
        <f ca="1">VLOOKUP(N$1,Formulas!$I$31:$J$39,2,FALSE)*M47</f>
        <v>14806.70611</v>
      </c>
      <c r="O47" s="226">
        <v>4500</v>
      </c>
      <c r="P47" s="226" t="s">
        <v>283</v>
      </c>
      <c r="R47" s="219" t="e">
        <f t="shared" si="19"/>
        <v>#REF!</v>
      </c>
      <c r="S47" s="219">
        <f t="array" ref="S47">INDEX(Formulas!$G$24:$O$27,MATCH($C47,Formulas!$F$24:$F$27,0),MATCH(S$1,Formulas!$G$23:$O$23,0))*45</f>
        <v>0.6075</v>
      </c>
      <c r="T47" s="219">
        <f>VLOOKUP($C47,Formulas!$K$31:$L$34,2,FALSE)</f>
        <v>0.6</v>
      </c>
      <c r="U47" s="219">
        <f ca="1" t="shared" si="3"/>
        <v>3.52448939</v>
      </c>
      <c r="V47" s="230" t="e">
        <f>VLOOKUP(V$1,Formulas!$F$47:$G$55,2,FALSE)*($E47+R47+S47)</f>
        <v>#REF!</v>
      </c>
      <c r="W47" s="219">
        <f ca="1" t="shared" si="4"/>
        <v>1.762244695</v>
      </c>
      <c r="X47" s="219">
        <f ca="1" t="shared" si="5"/>
        <v>17.62244695</v>
      </c>
      <c r="Y47" s="225">
        <f ca="1">VLOOKUP(Y$1,Formulas!$I$31:$J$39,2,FALSE)*X47</f>
        <v>2608.122149</v>
      </c>
      <c r="Z47" s="226">
        <v>759</v>
      </c>
      <c r="AA47" s="226" t="s">
        <v>306</v>
      </c>
      <c r="AC47" s="219" t="e">
        <f t="shared" si="20"/>
        <v>#REF!</v>
      </c>
      <c r="AD47" s="219">
        <f t="array" ref="AD47">INDEX(Formulas!$G$24:$O$27,MATCH($C47,Formulas!$F$24:$F$27,0),MATCH(AD$1,Formulas!$G$23:$O$23,0))*45</f>
        <v>0.6075</v>
      </c>
      <c r="AE47" s="219">
        <f>VLOOKUP($C47,Formulas!$K$31:$L$34,2,FALSE)</f>
        <v>0.6</v>
      </c>
      <c r="AF47" s="219">
        <f ca="1" t="shared" si="6"/>
        <v>4.797295021</v>
      </c>
      <c r="AG47" s="230" t="e">
        <f>VLOOKUP(AG$1,Formulas!$F$47:$G$55,2,FALSE)*($E47+AC47+AD47)</f>
        <v>#REF!</v>
      </c>
      <c r="AH47" s="219">
        <f ca="1" t="shared" si="7"/>
        <v>2.39864751</v>
      </c>
      <c r="AI47" s="219">
        <f ca="1" t="shared" si="8"/>
        <v>23.9864751</v>
      </c>
      <c r="AJ47" s="225">
        <f ca="1">VLOOKUP(AJ$1,Formulas!$I$31:$J$39,2,FALSE)*AI47</f>
        <v>91148.6054</v>
      </c>
      <c r="AK47" s="226"/>
      <c r="AL47" s="226" t="s">
        <v>294</v>
      </c>
      <c r="AN47" s="219" t="e">
        <f t="shared" si="21"/>
        <v>#REF!</v>
      </c>
      <c r="AO47" s="219">
        <f t="array" ref="AO47">INDEX(Formulas!$G$24:$O$27,MATCH($C47,Formulas!$F$24:$F$27,0),MATCH(AO$1,Formulas!$G$23:$O$23,0))*45</f>
        <v>0.8505</v>
      </c>
      <c r="AP47" s="219">
        <f>VLOOKUP($C47,Formulas!$K$31:$L$34,2,FALSE)</f>
        <v>0.6</v>
      </c>
      <c r="AQ47" s="219">
        <f ca="1" t="shared" si="9"/>
        <v>3.11537605</v>
      </c>
      <c r="AR47" s="230" t="e">
        <f>VLOOKUP(AR$1,Formulas!$F$47:$G$55,2,FALSE)*($E47+AN47+AO47)</f>
        <v>#REF!</v>
      </c>
      <c r="AS47" s="219">
        <f ca="1" t="shared" si="10"/>
        <v>1.557688025</v>
      </c>
      <c r="AT47" s="219">
        <f ca="1" t="shared" si="11"/>
        <v>15.57688025</v>
      </c>
      <c r="AU47" s="225">
        <f ca="1">VLOOKUP(AU$1,Formulas!$I$31:$J$39,2,FALSE)*AT47</f>
        <v>10592.27857</v>
      </c>
      <c r="AV47" s="226"/>
      <c r="AW47" s="226" t="s">
        <v>291</v>
      </c>
      <c r="AY47" s="219" t="e">
        <f t="shared" si="22"/>
        <v>#REF!</v>
      </c>
      <c r="AZ47" s="219">
        <f t="array" ref="AZ47">INDEX(Formulas!$G$24:$O$27,MATCH($C47,Formulas!$F$24:$F$27,0),MATCH(AZ$1,Formulas!$G$23:$O$23,0))*45</f>
        <v>0.6075</v>
      </c>
      <c r="BA47" s="219">
        <f>VLOOKUP($C47,Formulas!$K$31:$L$34,2,FALSE)</f>
        <v>0.6</v>
      </c>
      <c r="BB47" s="219">
        <f ca="1" t="shared" si="12"/>
        <v>3.055496722</v>
      </c>
      <c r="BC47" s="230" t="e">
        <f>VLOOKUP(BC$1,Formulas!$F$47:$G$55,2,FALSE)*($E47+AY47+AZ47)</f>
        <v>#REF!</v>
      </c>
      <c r="BD47" s="219">
        <f ca="1" t="shared" si="13"/>
        <v>1.527748361</v>
      </c>
      <c r="BE47" s="219">
        <f ca="1" t="shared" si="14"/>
        <v>15.27748361</v>
      </c>
      <c r="BF47" s="225">
        <f ca="1">VLOOKUP(BF$1,Formulas!$I$31:$J$39,2,FALSE)*BE47</f>
        <v>10388.68885</v>
      </c>
      <c r="BG47" s="226"/>
      <c r="BH47" s="226"/>
      <c r="BJ47" s="219" t="e">
        <f t="shared" si="23"/>
        <v>#REF!</v>
      </c>
      <c r="BK47" s="219">
        <f t="array" ref="BK47">INDEX(Formulas!$G$24:$O$27,MATCH($C47,Formulas!$F$24:$F$27,0),MATCH(BK$1,Formulas!$G$23:$O$23,0))*45</f>
        <v>0.6075</v>
      </c>
      <c r="BL47" s="219">
        <f>VLOOKUP($C47,Formulas!$K$31:$L$34,2,FALSE)</f>
        <v>0.6</v>
      </c>
      <c r="BM47" s="219">
        <f ca="1" t="shared" si="15"/>
        <v>2.871008409</v>
      </c>
      <c r="BN47" s="230" t="e">
        <f>VLOOKUP(BN$1,Formulas!$F$47:$G$55,2,FALSE)*($E47+BJ47+BK47)</f>
        <v>#REF!</v>
      </c>
      <c r="BO47" s="219">
        <f ca="1" t="shared" si="16"/>
        <v>1.435504204</v>
      </c>
      <c r="BP47" s="219">
        <f ca="1" t="shared" si="17"/>
        <v>14.35504204</v>
      </c>
      <c r="BQ47" s="225">
        <f ca="1">VLOOKUP(BQ$1,Formulas!$I$31:$J$39,2,FALSE)*BP47</f>
        <v>179.4380255</v>
      </c>
      <c r="BR47" s="226"/>
      <c r="BS47" s="226" t="s">
        <v>291</v>
      </c>
      <c r="BT47" s="225"/>
    </row>
    <row r="48" ht="12.5" spans="15:71">
      <c r="O48" s="226"/>
      <c r="P48" s="226"/>
      <c r="Z48" s="226"/>
      <c r="AA48" s="226"/>
      <c r="AK48" s="226"/>
      <c r="AL48" s="226"/>
      <c r="AV48" s="226"/>
      <c r="AW48" s="226"/>
      <c r="BG48" s="226"/>
      <c r="BH48" s="226"/>
      <c r="BR48" s="226"/>
      <c r="BS48" s="226"/>
    </row>
    <row r="49" ht="12.5" spans="15:71">
      <c r="O49" s="226"/>
      <c r="P49" s="226"/>
      <c r="Z49" s="226"/>
      <c r="AA49" s="226"/>
      <c r="AK49" s="226"/>
      <c r="AL49" s="226"/>
      <c r="AV49" s="226"/>
      <c r="AW49" s="226"/>
      <c r="BG49" s="226"/>
      <c r="BH49" s="226"/>
      <c r="BR49" s="226"/>
      <c r="BS49" s="226"/>
    </row>
    <row r="50" ht="12.5" spans="15:71">
      <c r="O50" s="226"/>
      <c r="P50" s="226"/>
      <c r="Z50" s="226"/>
      <c r="AA50" s="226"/>
      <c r="AK50" s="226"/>
      <c r="AL50" s="226"/>
      <c r="AV50" s="226"/>
      <c r="AW50" s="226"/>
      <c r="BG50" s="226"/>
      <c r="BH50" s="226"/>
      <c r="BR50" s="226"/>
      <c r="BS50" s="226"/>
    </row>
    <row r="51" ht="12.5" spans="15:71">
      <c r="O51" s="226"/>
      <c r="P51" s="226"/>
      <c r="Z51" s="226"/>
      <c r="AA51" s="226"/>
      <c r="AK51" s="226"/>
      <c r="AL51" s="226"/>
      <c r="AV51" s="226"/>
      <c r="AW51" s="226"/>
      <c r="BG51" s="226"/>
      <c r="BH51" s="226"/>
      <c r="BR51" s="226"/>
      <c r="BS51" s="226"/>
    </row>
    <row r="52" ht="12.5" spans="15:71">
      <c r="O52" s="226"/>
      <c r="P52" s="226"/>
      <c r="Z52" s="226"/>
      <c r="AA52" s="226"/>
      <c r="AK52" s="226"/>
      <c r="AL52" s="226"/>
      <c r="AV52" s="226"/>
      <c r="AW52" s="226"/>
      <c r="BG52" s="226"/>
      <c r="BH52" s="226"/>
      <c r="BR52" s="226"/>
      <c r="BS52" s="226"/>
    </row>
    <row r="53" ht="12.5" spans="15:71">
      <c r="O53" s="226"/>
      <c r="P53" s="226"/>
      <c r="Z53" s="226"/>
      <c r="AA53" s="226"/>
      <c r="AK53" s="226"/>
      <c r="AL53" s="226"/>
      <c r="AV53" s="226"/>
      <c r="AW53" s="226"/>
      <c r="BG53" s="226"/>
      <c r="BH53" s="226"/>
      <c r="BR53" s="226"/>
      <c r="BS53" s="226"/>
    </row>
    <row r="54" ht="12.5" spans="15:71">
      <c r="O54" s="226"/>
      <c r="P54" s="226"/>
      <c r="Z54" s="226"/>
      <c r="AA54" s="226"/>
      <c r="AK54" s="226"/>
      <c r="AL54" s="226"/>
      <c r="AV54" s="226"/>
      <c r="AW54" s="226"/>
      <c r="BG54" s="226"/>
      <c r="BH54" s="226"/>
      <c r="BR54" s="226"/>
      <c r="BS54" s="226"/>
    </row>
    <row r="55" ht="12.5" spans="15:71">
      <c r="O55" s="226"/>
      <c r="P55" s="226"/>
      <c r="Z55" s="226"/>
      <c r="AA55" s="226"/>
      <c r="AK55" s="226"/>
      <c r="AL55" s="226"/>
      <c r="AV55" s="226"/>
      <c r="AW55" s="226"/>
      <c r="BG55" s="226"/>
      <c r="BH55" s="226"/>
      <c r="BR55" s="226"/>
      <c r="BS55" s="226"/>
    </row>
    <row r="56" ht="12.5" spans="15:71">
      <c r="O56" s="226"/>
      <c r="P56" s="226"/>
      <c r="Z56" s="226"/>
      <c r="AA56" s="226"/>
      <c r="AK56" s="226"/>
      <c r="AL56" s="226"/>
      <c r="AV56" s="226"/>
      <c r="AW56" s="226"/>
      <c r="BG56" s="226"/>
      <c r="BH56" s="226"/>
      <c r="BR56" s="226"/>
      <c r="BS56" s="226"/>
    </row>
    <row r="57" ht="12.5" spans="15:71">
      <c r="O57" s="226"/>
      <c r="P57" s="226"/>
      <c r="Z57" s="226"/>
      <c r="AA57" s="226"/>
      <c r="AK57" s="226"/>
      <c r="AL57" s="226"/>
      <c r="AV57" s="226"/>
      <c r="AW57" s="226"/>
      <c r="BG57" s="226"/>
      <c r="BH57" s="226"/>
      <c r="BR57" s="226"/>
      <c r="BS57" s="226"/>
    </row>
    <row r="58" ht="12.5" spans="15:71">
      <c r="O58" s="226"/>
      <c r="P58" s="226"/>
      <c r="Z58" s="226"/>
      <c r="AA58" s="226"/>
      <c r="AK58" s="226"/>
      <c r="AL58" s="226"/>
      <c r="AV58" s="226"/>
      <c r="AW58" s="226"/>
      <c r="BG58" s="226"/>
      <c r="BH58" s="226"/>
      <c r="BR58" s="226"/>
      <c r="BS58" s="226"/>
    </row>
    <row r="59" ht="12.5" spans="15:71">
      <c r="O59" s="226"/>
      <c r="P59" s="226"/>
      <c r="Z59" s="226"/>
      <c r="AA59" s="226"/>
      <c r="AK59" s="226"/>
      <c r="AL59" s="226"/>
      <c r="AV59" s="226"/>
      <c r="AW59" s="226"/>
      <c r="BG59" s="226"/>
      <c r="BH59" s="226"/>
      <c r="BR59" s="226"/>
      <c r="BS59" s="226"/>
    </row>
    <row r="60" ht="12.5" spans="15:71">
      <c r="O60" s="226"/>
      <c r="P60" s="226"/>
      <c r="Z60" s="226"/>
      <c r="AA60" s="226"/>
      <c r="AK60" s="226"/>
      <c r="AL60" s="226"/>
      <c r="AV60" s="226"/>
      <c r="AW60" s="226"/>
      <c r="BG60" s="226"/>
      <c r="BH60" s="226"/>
      <c r="BR60" s="226"/>
      <c r="BS60" s="226"/>
    </row>
    <row r="61" ht="12.5" spans="15:71">
      <c r="O61" s="226"/>
      <c r="P61" s="226"/>
      <c r="Z61" s="226"/>
      <c r="AA61" s="226"/>
      <c r="AK61" s="226"/>
      <c r="AL61" s="226"/>
      <c r="AV61" s="226"/>
      <c r="AW61" s="226"/>
      <c r="BG61" s="226"/>
      <c r="BH61" s="226"/>
      <c r="BR61" s="226"/>
      <c r="BS61" s="226"/>
    </row>
    <row r="62" ht="12.5" spans="15:71">
      <c r="O62" s="226"/>
      <c r="P62" s="226"/>
      <c r="Z62" s="226"/>
      <c r="AA62" s="226"/>
      <c r="AK62" s="226"/>
      <c r="AL62" s="226"/>
      <c r="AV62" s="226"/>
      <c r="AW62" s="226"/>
      <c r="BG62" s="226"/>
      <c r="BH62" s="226"/>
      <c r="BR62" s="226"/>
      <c r="BS62" s="226"/>
    </row>
    <row r="63" ht="12.5" spans="15:71">
      <c r="O63" s="226"/>
      <c r="P63" s="226"/>
      <c r="Z63" s="226"/>
      <c r="AA63" s="226"/>
      <c r="AK63" s="226"/>
      <c r="AL63" s="226"/>
      <c r="AV63" s="226"/>
      <c r="AW63" s="226"/>
      <c r="BG63" s="226"/>
      <c r="BH63" s="226"/>
      <c r="BR63" s="226"/>
      <c r="BS63" s="226"/>
    </row>
    <row r="64" ht="12.5" spans="15:71">
      <c r="O64" s="226"/>
      <c r="P64" s="226"/>
      <c r="Z64" s="226"/>
      <c r="AA64" s="226"/>
      <c r="AK64" s="226"/>
      <c r="AL64" s="226"/>
      <c r="AV64" s="226"/>
      <c r="AW64" s="226"/>
      <c r="BG64" s="226"/>
      <c r="BH64" s="226"/>
      <c r="BR64" s="226"/>
      <c r="BS64" s="226"/>
    </row>
    <row r="65" ht="12.5" spans="15:71">
      <c r="O65" s="226"/>
      <c r="P65" s="226"/>
      <c r="Z65" s="226"/>
      <c r="AA65" s="226"/>
      <c r="AK65" s="226"/>
      <c r="AL65" s="226"/>
      <c r="AV65" s="226"/>
      <c r="AW65" s="226"/>
      <c r="BG65" s="226"/>
      <c r="BH65" s="226"/>
      <c r="BR65" s="226"/>
      <c r="BS65" s="226"/>
    </row>
    <row r="66" ht="12.5" spans="15:71">
      <c r="O66" s="226"/>
      <c r="P66" s="226"/>
      <c r="Z66" s="226"/>
      <c r="AA66" s="226"/>
      <c r="AK66" s="226"/>
      <c r="AL66" s="226"/>
      <c r="AV66" s="226"/>
      <c r="AW66" s="226"/>
      <c r="BG66" s="226"/>
      <c r="BH66" s="226"/>
      <c r="BR66" s="226"/>
      <c r="BS66" s="226"/>
    </row>
    <row r="67" ht="12.5" spans="15:71">
      <c r="O67" s="226"/>
      <c r="P67" s="226"/>
      <c r="Z67" s="226"/>
      <c r="AA67" s="226"/>
      <c r="AK67" s="226"/>
      <c r="AL67" s="226"/>
      <c r="AV67" s="226"/>
      <c r="AW67" s="226"/>
      <c r="BG67" s="226"/>
      <c r="BH67" s="226"/>
      <c r="BR67" s="226"/>
      <c r="BS67" s="226"/>
    </row>
    <row r="68" ht="12.5" spans="15:71">
      <c r="O68" s="226"/>
      <c r="P68" s="226"/>
      <c r="Z68" s="226"/>
      <c r="AA68" s="226"/>
      <c r="AK68" s="226"/>
      <c r="AL68" s="226"/>
      <c r="AV68" s="226"/>
      <c r="AW68" s="226"/>
      <c r="BG68" s="226"/>
      <c r="BH68" s="226"/>
      <c r="BR68" s="226"/>
      <c r="BS68" s="226"/>
    </row>
    <row r="69" ht="12.5" spans="15:71">
      <c r="O69" s="226"/>
      <c r="P69" s="226"/>
      <c r="Z69" s="226"/>
      <c r="AA69" s="226"/>
      <c r="AK69" s="226"/>
      <c r="AL69" s="226"/>
      <c r="AV69" s="226"/>
      <c r="AW69" s="226"/>
      <c r="BG69" s="226"/>
      <c r="BH69" s="226"/>
      <c r="BR69" s="226"/>
      <c r="BS69" s="226"/>
    </row>
    <row r="70" ht="12.5" spans="15:71">
      <c r="O70" s="226"/>
      <c r="P70" s="226"/>
      <c r="Z70" s="226"/>
      <c r="AA70" s="226"/>
      <c r="AK70" s="226"/>
      <c r="AL70" s="226"/>
      <c r="AV70" s="226"/>
      <c r="AW70" s="226"/>
      <c r="BG70" s="226"/>
      <c r="BH70" s="226"/>
      <c r="BR70" s="226"/>
      <c r="BS70" s="226"/>
    </row>
    <row r="71" ht="12.5" spans="15:71">
      <c r="O71" s="226"/>
      <c r="P71" s="226"/>
      <c r="Z71" s="226"/>
      <c r="AA71" s="226"/>
      <c r="AK71" s="226"/>
      <c r="AL71" s="226"/>
      <c r="AV71" s="226"/>
      <c r="AW71" s="226"/>
      <c r="BG71" s="226"/>
      <c r="BH71" s="226"/>
      <c r="BR71" s="226"/>
      <c r="BS71" s="226"/>
    </row>
    <row r="72" ht="12.5" spans="15:71">
      <c r="O72" s="226"/>
      <c r="P72" s="226"/>
      <c r="Z72" s="226"/>
      <c r="AA72" s="226"/>
      <c r="AK72" s="226"/>
      <c r="AL72" s="226"/>
      <c r="AV72" s="226"/>
      <c r="AW72" s="226"/>
      <c r="BG72" s="226"/>
      <c r="BH72" s="226"/>
      <c r="BR72" s="226"/>
      <c r="BS72" s="226"/>
    </row>
    <row r="73" ht="12.5" spans="15:71">
      <c r="O73" s="226"/>
      <c r="P73" s="226"/>
      <c r="Z73" s="226"/>
      <c r="AA73" s="226"/>
      <c r="AK73" s="226"/>
      <c r="AL73" s="226"/>
      <c r="AV73" s="226"/>
      <c r="AW73" s="226"/>
      <c r="BG73" s="226"/>
      <c r="BH73" s="226"/>
      <c r="BR73" s="226"/>
      <c r="BS73" s="226"/>
    </row>
    <row r="74" ht="12.5" spans="15:71">
      <c r="O74" s="226"/>
      <c r="P74" s="226"/>
      <c r="Z74" s="226"/>
      <c r="AA74" s="226"/>
      <c r="AK74" s="226"/>
      <c r="AL74" s="226"/>
      <c r="AV74" s="226"/>
      <c r="AW74" s="226"/>
      <c r="BG74" s="226"/>
      <c r="BH74" s="226"/>
      <c r="BR74" s="226"/>
      <c r="BS74" s="226"/>
    </row>
    <row r="75" ht="12.5" spans="15:71">
      <c r="O75" s="226"/>
      <c r="P75" s="226"/>
      <c r="Z75" s="226"/>
      <c r="AA75" s="226"/>
      <c r="AK75" s="226"/>
      <c r="AL75" s="226"/>
      <c r="AV75" s="226"/>
      <c r="AW75" s="226"/>
      <c r="BG75" s="226"/>
      <c r="BH75" s="226"/>
      <c r="BR75" s="226"/>
      <c r="BS75" s="226"/>
    </row>
    <row r="76" ht="12.5" spans="15:71">
      <c r="O76" s="226"/>
      <c r="P76" s="226"/>
      <c r="Z76" s="226"/>
      <c r="AA76" s="226"/>
      <c r="AK76" s="226"/>
      <c r="AL76" s="226"/>
      <c r="AV76" s="226"/>
      <c r="AW76" s="226"/>
      <c r="BG76" s="226"/>
      <c r="BH76" s="226"/>
      <c r="BR76" s="226"/>
      <c r="BS76" s="226"/>
    </row>
    <row r="77" ht="12.5" spans="15:71">
      <c r="O77" s="226"/>
      <c r="P77" s="226"/>
      <c r="Z77" s="226"/>
      <c r="AA77" s="226"/>
      <c r="AK77" s="226"/>
      <c r="AL77" s="226"/>
      <c r="AV77" s="226"/>
      <c r="AW77" s="226"/>
      <c r="BG77" s="226"/>
      <c r="BH77" s="226"/>
      <c r="BR77" s="226"/>
      <c r="BS77" s="226"/>
    </row>
    <row r="78" ht="12.5" spans="15:71">
      <c r="O78" s="226"/>
      <c r="P78" s="226"/>
      <c r="Z78" s="226"/>
      <c r="AA78" s="226"/>
      <c r="AK78" s="226"/>
      <c r="AL78" s="226"/>
      <c r="AV78" s="226"/>
      <c r="AW78" s="226"/>
      <c r="BG78" s="226"/>
      <c r="BH78" s="226"/>
      <c r="BR78" s="226"/>
      <c r="BS78" s="226"/>
    </row>
    <row r="79" ht="12.5" spans="15:71">
      <c r="O79" s="226"/>
      <c r="P79" s="226"/>
      <c r="Z79" s="226"/>
      <c r="AA79" s="226"/>
      <c r="AK79" s="226"/>
      <c r="AL79" s="226"/>
      <c r="AV79" s="226"/>
      <c r="AW79" s="226"/>
      <c r="BG79" s="226"/>
      <c r="BH79" s="226"/>
      <c r="BR79" s="226"/>
      <c r="BS79" s="226"/>
    </row>
    <row r="80" ht="12.5" spans="15:71">
      <c r="O80" s="226"/>
      <c r="P80" s="226"/>
      <c r="Z80" s="226"/>
      <c r="AA80" s="226"/>
      <c r="AK80" s="226"/>
      <c r="AL80" s="226"/>
      <c r="AV80" s="226"/>
      <c r="AW80" s="226"/>
      <c r="BG80" s="226"/>
      <c r="BH80" s="226"/>
      <c r="BR80" s="226"/>
      <c r="BS80" s="226"/>
    </row>
    <row r="81" ht="12.5" spans="15:71">
      <c r="O81" s="226"/>
      <c r="P81" s="226"/>
      <c r="Z81" s="226"/>
      <c r="AA81" s="226"/>
      <c r="AK81" s="226"/>
      <c r="AL81" s="226"/>
      <c r="AV81" s="226"/>
      <c r="AW81" s="226"/>
      <c r="BG81" s="226"/>
      <c r="BH81" s="226"/>
      <c r="BR81" s="226"/>
      <c r="BS81" s="226"/>
    </row>
    <row r="82" ht="12.5" spans="15:71">
      <c r="O82" s="226"/>
      <c r="P82" s="226"/>
      <c r="Z82" s="226"/>
      <c r="AA82" s="226"/>
      <c r="AK82" s="226"/>
      <c r="AL82" s="226"/>
      <c r="AV82" s="226"/>
      <c r="AW82" s="226"/>
      <c r="BG82" s="226"/>
      <c r="BH82" s="226"/>
      <c r="BR82" s="226"/>
      <c r="BS82" s="226"/>
    </row>
    <row r="83" ht="12.5" spans="15:71">
      <c r="O83" s="226"/>
      <c r="P83" s="226"/>
      <c r="Z83" s="226"/>
      <c r="AA83" s="226"/>
      <c r="AK83" s="226"/>
      <c r="AL83" s="226"/>
      <c r="AV83" s="226"/>
      <c r="AW83" s="226"/>
      <c r="BG83" s="226"/>
      <c r="BH83" s="226"/>
      <c r="BR83" s="226"/>
      <c r="BS83" s="226"/>
    </row>
    <row r="84" ht="12.5" spans="15:71">
      <c r="O84" s="226"/>
      <c r="P84" s="226"/>
      <c r="Z84" s="226"/>
      <c r="AA84" s="226"/>
      <c r="AK84" s="226"/>
      <c r="AL84" s="226"/>
      <c r="AV84" s="226"/>
      <c r="AW84" s="226"/>
      <c r="BG84" s="226"/>
      <c r="BH84" s="226"/>
      <c r="BR84" s="226"/>
      <c r="BS84" s="226"/>
    </row>
    <row r="85" ht="12.5" spans="15:71">
      <c r="O85" s="226"/>
      <c r="P85" s="226"/>
      <c r="Z85" s="226"/>
      <c r="AA85" s="226"/>
      <c r="AK85" s="226"/>
      <c r="AL85" s="226"/>
      <c r="AV85" s="226"/>
      <c r="AW85" s="226"/>
      <c r="BG85" s="226"/>
      <c r="BH85" s="226"/>
      <c r="BR85" s="226"/>
      <c r="BS85" s="226"/>
    </row>
    <row r="86" ht="12.5" spans="15:71">
      <c r="O86" s="226"/>
      <c r="P86" s="226"/>
      <c r="Z86" s="226"/>
      <c r="AA86" s="226"/>
      <c r="AK86" s="226"/>
      <c r="AL86" s="226"/>
      <c r="AV86" s="226"/>
      <c r="AW86" s="226"/>
      <c r="BG86" s="226"/>
      <c r="BH86" s="226"/>
      <c r="BR86" s="226"/>
      <c r="BS86" s="226"/>
    </row>
    <row r="87" ht="12.5" spans="15:71">
      <c r="O87" s="226"/>
      <c r="P87" s="226"/>
      <c r="Z87" s="226"/>
      <c r="AA87" s="226"/>
      <c r="AK87" s="226"/>
      <c r="AL87" s="226"/>
      <c r="AV87" s="226"/>
      <c r="AW87" s="226"/>
      <c r="BG87" s="226"/>
      <c r="BH87" s="226"/>
      <c r="BR87" s="226"/>
      <c r="BS87" s="226"/>
    </row>
    <row r="88" ht="12.5" spans="15:71">
      <c r="O88" s="226"/>
      <c r="P88" s="226"/>
      <c r="Z88" s="226"/>
      <c r="AA88" s="226"/>
      <c r="AK88" s="226"/>
      <c r="AL88" s="226"/>
      <c r="AV88" s="226"/>
      <c r="AW88" s="226"/>
      <c r="BG88" s="226"/>
      <c r="BH88" s="226"/>
      <c r="BR88" s="226"/>
      <c r="BS88" s="226"/>
    </row>
    <row r="89" ht="12.5" spans="15:71">
      <c r="O89" s="226"/>
      <c r="P89" s="226"/>
      <c r="Z89" s="226"/>
      <c r="AA89" s="226"/>
      <c r="AK89" s="226"/>
      <c r="AL89" s="226"/>
      <c r="AV89" s="226"/>
      <c r="AW89" s="226"/>
      <c r="BG89" s="226"/>
      <c r="BH89" s="226"/>
      <c r="BR89" s="226"/>
      <c r="BS89" s="226"/>
    </row>
    <row r="90" ht="12.5" spans="15:71">
      <c r="O90" s="226"/>
      <c r="P90" s="226"/>
      <c r="Z90" s="226"/>
      <c r="AA90" s="226"/>
      <c r="AK90" s="226"/>
      <c r="AL90" s="226"/>
      <c r="AV90" s="226"/>
      <c r="AW90" s="226"/>
      <c r="BG90" s="226"/>
      <c r="BH90" s="226"/>
      <c r="BR90" s="226"/>
      <c r="BS90" s="226"/>
    </row>
    <row r="91" ht="12.5" spans="15:71">
      <c r="O91" s="226"/>
      <c r="P91" s="226"/>
      <c r="Z91" s="226"/>
      <c r="AA91" s="226"/>
      <c r="AK91" s="226"/>
      <c r="AL91" s="226"/>
      <c r="AV91" s="226"/>
      <c r="AW91" s="226"/>
      <c r="BG91" s="226"/>
      <c r="BH91" s="226"/>
      <c r="BR91" s="226"/>
      <c r="BS91" s="226"/>
    </row>
    <row r="92" ht="12.5" spans="15:71">
      <c r="O92" s="226"/>
      <c r="P92" s="226"/>
      <c r="Z92" s="226"/>
      <c r="AA92" s="226"/>
      <c r="AK92" s="226"/>
      <c r="AL92" s="226"/>
      <c r="AV92" s="226"/>
      <c r="AW92" s="226"/>
      <c r="BG92" s="226"/>
      <c r="BH92" s="226"/>
      <c r="BR92" s="226"/>
      <c r="BS92" s="226"/>
    </row>
    <row r="93" ht="12.5" spans="15:71">
      <c r="O93" s="226"/>
      <c r="P93" s="226"/>
      <c r="Z93" s="226"/>
      <c r="AA93" s="226"/>
      <c r="AK93" s="226"/>
      <c r="AL93" s="226"/>
      <c r="AV93" s="226"/>
      <c r="AW93" s="226"/>
      <c r="BG93" s="226"/>
      <c r="BH93" s="226"/>
      <c r="BR93" s="226"/>
      <c r="BS93" s="226"/>
    </row>
    <row r="94" ht="12.5" spans="15:71">
      <c r="O94" s="226"/>
      <c r="P94" s="226"/>
      <c r="Z94" s="226"/>
      <c r="AA94" s="226"/>
      <c r="AK94" s="226"/>
      <c r="AL94" s="226"/>
      <c r="AV94" s="226"/>
      <c r="AW94" s="226"/>
      <c r="BG94" s="226"/>
      <c r="BH94" s="226"/>
      <c r="BR94" s="226"/>
      <c r="BS94" s="226"/>
    </row>
    <row r="95" ht="12.5" spans="15:71">
      <c r="O95" s="226"/>
      <c r="P95" s="226"/>
      <c r="Z95" s="226"/>
      <c r="AA95" s="226"/>
      <c r="AK95" s="226"/>
      <c r="AL95" s="226"/>
      <c r="AV95" s="226"/>
      <c r="AW95" s="226"/>
      <c r="BG95" s="226"/>
      <c r="BH95" s="226"/>
      <c r="BR95" s="226"/>
      <c r="BS95" s="226"/>
    </row>
    <row r="96" ht="12.5" spans="15:71">
      <c r="O96" s="226"/>
      <c r="P96" s="226"/>
      <c r="Z96" s="226"/>
      <c r="AA96" s="226"/>
      <c r="AK96" s="226"/>
      <c r="AL96" s="226"/>
      <c r="AV96" s="226"/>
      <c r="AW96" s="226"/>
      <c r="BG96" s="226"/>
      <c r="BH96" s="226"/>
      <c r="BR96" s="226"/>
      <c r="BS96" s="226"/>
    </row>
    <row r="97" ht="12.5" spans="15:71">
      <c r="O97" s="226"/>
      <c r="P97" s="226"/>
      <c r="Z97" s="226"/>
      <c r="AA97" s="226"/>
      <c r="AK97" s="226"/>
      <c r="AL97" s="226"/>
      <c r="AV97" s="226"/>
      <c r="AW97" s="226"/>
      <c r="BG97" s="226"/>
      <c r="BH97" s="226"/>
      <c r="BR97" s="226"/>
      <c r="BS97" s="226"/>
    </row>
    <row r="98" ht="12.5" spans="15:71">
      <c r="O98" s="226"/>
      <c r="P98" s="226"/>
      <c r="Z98" s="226"/>
      <c r="AA98" s="226"/>
      <c r="AK98" s="226"/>
      <c r="AL98" s="226"/>
      <c r="AV98" s="226"/>
      <c r="AW98" s="226"/>
      <c r="BG98" s="226"/>
      <c r="BH98" s="226"/>
      <c r="BR98" s="226"/>
      <c r="BS98" s="226"/>
    </row>
    <row r="99" ht="12.5" spans="15:71">
      <c r="O99" s="226"/>
      <c r="P99" s="226"/>
      <c r="Z99" s="226"/>
      <c r="AA99" s="226"/>
      <c r="AK99" s="226"/>
      <c r="AL99" s="226"/>
      <c r="AV99" s="226"/>
      <c r="AW99" s="226"/>
      <c r="BG99" s="226"/>
      <c r="BH99" s="226"/>
      <c r="BR99" s="226"/>
      <c r="BS99" s="226"/>
    </row>
    <row r="100" ht="12.5" spans="15:71">
      <c r="O100" s="226"/>
      <c r="P100" s="226"/>
      <c r="Z100" s="226"/>
      <c r="AA100" s="226"/>
      <c r="AK100" s="226"/>
      <c r="AL100" s="226"/>
      <c r="AV100" s="226"/>
      <c r="AW100" s="226"/>
      <c r="BG100" s="226"/>
      <c r="BH100" s="226"/>
      <c r="BR100" s="226"/>
      <c r="BS100" s="226"/>
    </row>
    <row r="101" ht="12.5" spans="15:71">
      <c r="O101" s="226"/>
      <c r="P101" s="226"/>
      <c r="Z101" s="226"/>
      <c r="AA101" s="226"/>
      <c r="AK101" s="226"/>
      <c r="AL101" s="226"/>
      <c r="AV101" s="226"/>
      <c r="AW101" s="226"/>
      <c r="BG101" s="226"/>
      <c r="BH101" s="226"/>
      <c r="BR101" s="226"/>
      <c r="BS101" s="226"/>
    </row>
    <row r="102" ht="12.5" spans="15:71">
      <c r="O102" s="226"/>
      <c r="P102" s="226"/>
      <c r="Z102" s="226"/>
      <c r="AA102" s="226"/>
      <c r="AK102" s="226"/>
      <c r="AL102" s="226"/>
      <c r="AV102" s="226"/>
      <c r="AW102" s="226"/>
      <c r="BG102" s="226"/>
      <c r="BH102" s="226"/>
      <c r="BR102" s="226"/>
      <c r="BS102" s="226"/>
    </row>
    <row r="103" ht="12.5" spans="15:71">
      <c r="O103" s="226"/>
      <c r="P103" s="226"/>
      <c r="Z103" s="226"/>
      <c r="AA103" s="226"/>
      <c r="AK103" s="226"/>
      <c r="AL103" s="226"/>
      <c r="AV103" s="226"/>
      <c r="AW103" s="226"/>
      <c r="BG103" s="226"/>
      <c r="BH103" s="226"/>
      <c r="BR103" s="226"/>
      <c r="BS103" s="226"/>
    </row>
    <row r="104" ht="12.5" spans="15:71">
      <c r="O104" s="226"/>
      <c r="P104" s="226"/>
      <c r="Z104" s="226"/>
      <c r="AA104" s="226"/>
      <c r="AK104" s="226"/>
      <c r="AL104" s="226"/>
      <c r="AV104" s="226"/>
      <c r="AW104" s="226"/>
      <c r="BG104" s="226"/>
      <c r="BH104" s="226"/>
      <c r="BR104" s="226"/>
      <c r="BS104" s="226"/>
    </row>
    <row r="105" ht="12.5" spans="15:71">
      <c r="O105" s="226"/>
      <c r="P105" s="226"/>
      <c r="Z105" s="226"/>
      <c r="AA105" s="226"/>
      <c r="AK105" s="226"/>
      <c r="AL105" s="226"/>
      <c r="AV105" s="226"/>
      <c r="AW105" s="226"/>
      <c r="BG105" s="226"/>
      <c r="BH105" s="226"/>
      <c r="BR105" s="226"/>
      <c r="BS105" s="226"/>
    </row>
    <row r="106" ht="12.5" spans="15:71">
      <c r="O106" s="226"/>
      <c r="P106" s="226"/>
      <c r="Z106" s="226"/>
      <c r="AA106" s="226"/>
      <c r="AK106" s="226"/>
      <c r="AL106" s="226"/>
      <c r="AV106" s="226"/>
      <c r="AW106" s="226"/>
      <c r="BG106" s="226"/>
      <c r="BH106" s="226"/>
      <c r="BR106" s="226"/>
      <c r="BS106" s="226"/>
    </row>
    <row r="107" ht="12.5" spans="15:71">
      <c r="O107" s="226"/>
      <c r="P107" s="226"/>
      <c r="Z107" s="226"/>
      <c r="AA107" s="226"/>
      <c r="AK107" s="226"/>
      <c r="AL107" s="226"/>
      <c r="AV107" s="226"/>
      <c r="AW107" s="226"/>
      <c r="BG107" s="226"/>
      <c r="BH107" s="226"/>
      <c r="BR107" s="226"/>
      <c r="BS107" s="226"/>
    </row>
    <row r="108" ht="12.5" spans="15:71">
      <c r="O108" s="226"/>
      <c r="P108" s="226"/>
      <c r="Z108" s="226"/>
      <c r="AA108" s="226"/>
      <c r="AK108" s="226"/>
      <c r="AL108" s="226"/>
      <c r="AV108" s="226"/>
      <c r="AW108" s="226"/>
      <c r="BG108" s="226"/>
      <c r="BH108" s="226"/>
      <c r="BR108" s="226"/>
      <c r="BS108" s="226"/>
    </row>
    <row r="109" ht="12.5" spans="15:71">
      <c r="O109" s="226"/>
      <c r="P109" s="226"/>
      <c r="Z109" s="226"/>
      <c r="AA109" s="226"/>
      <c r="AK109" s="226"/>
      <c r="AL109" s="226"/>
      <c r="AV109" s="226"/>
      <c r="AW109" s="226"/>
      <c r="BG109" s="226"/>
      <c r="BH109" s="226"/>
      <c r="BR109" s="226"/>
      <c r="BS109" s="226"/>
    </row>
    <row r="110" ht="12.5" spans="15:71">
      <c r="O110" s="226"/>
      <c r="P110" s="226"/>
      <c r="Z110" s="226"/>
      <c r="AA110" s="226"/>
      <c r="AK110" s="226"/>
      <c r="AL110" s="226"/>
      <c r="AV110" s="226"/>
      <c r="AW110" s="226"/>
      <c r="BG110" s="226"/>
      <c r="BH110" s="226"/>
      <c r="BR110" s="226"/>
      <c r="BS110" s="226"/>
    </row>
    <row r="111" ht="12.5" spans="15:71">
      <c r="O111" s="226"/>
      <c r="P111" s="226"/>
      <c r="Z111" s="226"/>
      <c r="AA111" s="226"/>
      <c r="AK111" s="226"/>
      <c r="AL111" s="226"/>
      <c r="AV111" s="226"/>
      <c r="AW111" s="226"/>
      <c r="BG111" s="226"/>
      <c r="BH111" s="226"/>
      <c r="BR111" s="226"/>
      <c r="BS111" s="226"/>
    </row>
    <row r="112" ht="12.5" spans="15:71">
      <c r="O112" s="226"/>
      <c r="P112" s="226"/>
      <c r="Z112" s="226"/>
      <c r="AA112" s="226"/>
      <c r="AK112" s="226"/>
      <c r="AL112" s="226"/>
      <c r="AV112" s="226"/>
      <c r="AW112" s="226"/>
      <c r="BG112" s="226"/>
      <c r="BH112" s="226"/>
      <c r="BR112" s="226"/>
      <c r="BS112" s="226"/>
    </row>
    <row r="113" ht="12.5" spans="15:71">
      <c r="O113" s="226"/>
      <c r="P113" s="226"/>
      <c r="Z113" s="226"/>
      <c r="AA113" s="226"/>
      <c r="AK113" s="226"/>
      <c r="AL113" s="226"/>
      <c r="AV113" s="226"/>
      <c r="AW113" s="226"/>
      <c r="BG113" s="226"/>
      <c r="BH113" s="226"/>
      <c r="BR113" s="226"/>
      <c r="BS113" s="226"/>
    </row>
    <row r="114" ht="12.5" spans="15:71">
      <c r="O114" s="226"/>
      <c r="P114" s="226"/>
      <c r="Z114" s="226"/>
      <c r="AA114" s="226"/>
      <c r="AK114" s="226"/>
      <c r="AL114" s="226"/>
      <c r="AV114" s="226"/>
      <c r="AW114" s="226"/>
      <c r="BG114" s="226"/>
      <c r="BH114" s="226"/>
      <c r="BR114" s="226"/>
      <c r="BS114" s="226"/>
    </row>
    <row r="115" ht="12.5" spans="15:71">
      <c r="O115" s="226"/>
      <c r="P115" s="226"/>
      <c r="Z115" s="226"/>
      <c r="AA115" s="226"/>
      <c r="AK115" s="226"/>
      <c r="AL115" s="226"/>
      <c r="AV115" s="226"/>
      <c r="AW115" s="226"/>
      <c r="BG115" s="226"/>
      <c r="BH115" s="226"/>
      <c r="BR115" s="226"/>
      <c r="BS115" s="226"/>
    </row>
    <row r="116" ht="12.5" spans="15:71">
      <c r="O116" s="226"/>
      <c r="P116" s="226"/>
      <c r="Z116" s="226"/>
      <c r="AA116" s="226"/>
      <c r="AK116" s="226"/>
      <c r="AL116" s="226"/>
      <c r="AV116" s="226"/>
      <c r="AW116" s="226"/>
      <c r="BG116" s="226"/>
      <c r="BH116" s="226"/>
      <c r="BR116" s="226"/>
      <c r="BS116" s="226"/>
    </row>
    <row r="117" ht="12.5" spans="15:71">
      <c r="O117" s="226"/>
      <c r="P117" s="226"/>
      <c r="Z117" s="226"/>
      <c r="AA117" s="226"/>
      <c r="AK117" s="226"/>
      <c r="AL117" s="226"/>
      <c r="AV117" s="226"/>
      <c r="AW117" s="226"/>
      <c r="BG117" s="226"/>
      <c r="BH117" s="226"/>
      <c r="BR117" s="226"/>
      <c r="BS117" s="226"/>
    </row>
    <row r="118" ht="12.5" spans="15:71">
      <c r="O118" s="226"/>
      <c r="P118" s="226"/>
      <c r="Z118" s="226"/>
      <c r="AA118" s="226"/>
      <c r="AK118" s="226"/>
      <c r="AL118" s="226"/>
      <c r="AV118" s="226"/>
      <c r="AW118" s="226"/>
      <c r="BG118" s="226"/>
      <c r="BH118" s="226"/>
      <c r="BR118" s="226"/>
      <c r="BS118" s="226"/>
    </row>
    <row r="119" ht="12.5" spans="15:71">
      <c r="O119" s="226"/>
      <c r="P119" s="226"/>
      <c r="Z119" s="226"/>
      <c r="AA119" s="226"/>
      <c r="AK119" s="226"/>
      <c r="AL119" s="226"/>
      <c r="AV119" s="226"/>
      <c r="AW119" s="226"/>
      <c r="BG119" s="226"/>
      <c r="BH119" s="226"/>
      <c r="BR119" s="226"/>
      <c r="BS119" s="226"/>
    </row>
    <row r="120" ht="12.5" spans="15:71">
      <c r="O120" s="226"/>
      <c r="P120" s="226"/>
      <c r="Z120" s="226"/>
      <c r="AA120" s="226"/>
      <c r="AK120" s="226"/>
      <c r="AL120" s="226"/>
      <c r="AV120" s="226"/>
      <c r="AW120" s="226"/>
      <c r="BG120" s="226"/>
      <c r="BH120" s="226"/>
      <c r="BR120" s="226"/>
      <c r="BS120" s="226"/>
    </row>
    <row r="121" ht="12.5" spans="15:71">
      <c r="O121" s="226"/>
      <c r="P121" s="226"/>
      <c r="Z121" s="226"/>
      <c r="AA121" s="226"/>
      <c r="AK121" s="226"/>
      <c r="AL121" s="226"/>
      <c r="AV121" s="226"/>
      <c r="AW121" s="226"/>
      <c r="BG121" s="226"/>
      <c r="BH121" s="226"/>
      <c r="BR121" s="226"/>
      <c r="BS121" s="226"/>
    </row>
    <row r="122" ht="12.5" spans="15:71">
      <c r="O122" s="226"/>
      <c r="P122" s="226"/>
      <c r="Z122" s="226"/>
      <c r="AA122" s="226"/>
      <c r="AK122" s="226"/>
      <c r="AL122" s="226"/>
      <c r="AV122" s="226"/>
      <c r="AW122" s="226"/>
      <c r="BG122" s="226"/>
      <c r="BH122" s="226"/>
      <c r="BR122" s="226"/>
      <c r="BS122" s="226"/>
    </row>
    <row r="123" ht="12.5" spans="15:71">
      <c r="O123" s="226"/>
      <c r="P123" s="226"/>
      <c r="Z123" s="226"/>
      <c r="AA123" s="226"/>
      <c r="AK123" s="226"/>
      <c r="AL123" s="226"/>
      <c r="AV123" s="226"/>
      <c r="AW123" s="226"/>
      <c r="BG123" s="226"/>
      <c r="BH123" s="226"/>
      <c r="BR123" s="226"/>
      <c r="BS123" s="226"/>
    </row>
    <row r="124" ht="12.5" spans="15:71">
      <c r="O124" s="226"/>
      <c r="P124" s="226"/>
      <c r="Z124" s="226"/>
      <c r="AA124" s="226"/>
      <c r="AK124" s="226"/>
      <c r="AL124" s="226"/>
      <c r="AV124" s="226"/>
      <c r="AW124" s="226"/>
      <c r="BG124" s="226"/>
      <c r="BH124" s="226"/>
      <c r="BR124" s="226"/>
      <c r="BS124" s="226"/>
    </row>
    <row r="125" ht="12.5" spans="15:71">
      <c r="O125" s="226"/>
      <c r="P125" s="226"/>
      <c r="Z125" s="226"/>
      <c r="AA125" s="226"/>
      <c r="AK125" s="226"/>
      <c r="AL125" s="226"/>
      <c r="AV125" s="226"/>
      <c r="AW125" s="226"/>
      <c r="BG125" s="226"/>
      <c r="BH125" s="226"/>
      <c r="BR125" s="226"/>
      <c r="BS125" s="226"/>
    </row>
    <row r="126" ht="12.5" spans="15:71">
      <c r="O126" s="226"/>
      <c r="P126" s="226"/>
      <c r="Z126" s="226"/>
      <c r="AA126" s="226"/>
      <c r="AK126" s="226"/>
      <c r="AL126" s="226"/>
      <c r="AV126" s="226"/>
      <c r="AW126" s="226"/>
      <c r="BG126" s="226"/>
      <c r="BH126" s="226"/>
      <c r="BR126" s="226"/>
      <c r="BS126" s="226"/>
    </row>
    <row r="127" ht="12.5" spans="15:71">
      <c r="O127" s="226"/>
      <c r="P127" s="226"/>
      <c r="Z127" s="226"/>
      <c r="AA127" s="226"/>
      <c r="AK127" s="226"/>
      <c r="AL127" s="226"/>
      <c r="AV127" s="226"/>
      <c r="AW127" s="226"/>
      <c r="BG127" s="226"/>
      <c r="BH127" s="226"/>
      <c r="BR127" s="226"/>
      <c r="BS127" s="226"/>
    </row>
    <row r="128" ht="12.5" spans="15:71">
      <c r="O128" s="226"/>
      <c r="P128" s="226"/>
      <c r="Z128" s="226"/>
      <c r="AA128" s="226"/>
      <c r="AK128" s="226"/>
      <c r="AL128" s="226"/>
      <c r="AV128" s="226"/>
      <c r="AW128" s="226"/>
      <c r="BG128" s="226"/>
      <c r="BH128" s="226"/>
      <c r="BR128" s="226"/>
      <c r="BS128" s="226"/>
    </row>
    <row r="129" ht="12.5" spans="15:71">
      <c r="O129" s="226"/>
      <c r="P129" s="226"/>
      <c r="Z129" s="226"/>
      <c r="AA129" s="226"/>
      <c r="AK129" s="226"/>
      <c r="AL129" s="226"/>
      <c r="AV129" s="226"/>
      <c r="AW129" s="226"/>
      <c r="BG129" s="226"/>
      <c r="BH129" s="226"/>
      <c r="BR129" s="226"/>
      <c r="BS129" s="226"/>
    </row>
    <row r="130" ht="12.5" spans="15:71">
      <c r="O130" s="226"/>
      <c r="P130" s="226"/>
      <c r="Z130" s="226"/>
      <c r="AA130" s="226"/>
      <c r="AK130" s="226"/>
      <c r="AL130" s="226"/>
      <c r="AV130" s="226"/>
      <c r="AW130" s="226"/>
      <c r="BG130" s="226"/>
      <c r="BH130" s="226"/>
      <c r="BR130" s="226"/>
      <c r="BS130" s="226"/>
    </row>
    <row r="131" ht="12.5" spans="15:71">
      <c r="O131" s="226"/>
      <c r="P131" s="226"/>
      <c r="Z131" s="226"/>
      <c r="AA131" s="226"/>
      <c r="AK131" s="226"/>
      <c r="AL131" s="226"/>
      <c r="AV131" s="226"/>
      <c r="AW131" s="226"/>
      <c r="BG131" s="226"/>
      <c r="BH131" s="226"/>
      <c r="BR131" s="226"/>
      <c r="BS131" s="226"/>
    </row>
    <row r="132" ht="12.5" spans="15:71">
      <c r="O132" s="226"/>
      <c r="P132" s="226"/>
      <c r="Z132" s="226"/>
      <c r="AA132" s="226"/>
      <c r="AK132" s="226"/>
      <c r="AL132" s="226"/>
      <c r="AV132" s="226"/>
      <c r="AW132" s="226"/>
      <c r="BG132" s="226"/>
      <c r="BH132" s="226"/>
      <c r="BR132" s="226"/>
      <c r="BS132" s="226"/>
    </row>
    <row r="133" ht="12.5" spans="15:71">
      <c r="O133" s="226"/>
      <c r="P133" s="226"/>
      <c r="Z133" s="226"/>
      <c r="AA133" s="226"/>
      <c r="AK133" s="226"/>
      <c r="AL133" s="226"/>
      <c r="AV133" s="226"/>
      <c r="AW133" s="226"/>
      <c r="BG133" s="226"/>
      <c r="BH133" s="226"/>
      <c r="BR133" s="226"/>
      <c r="BS133" s="226"/>
    </row>
    <row r="134" ht="12.5" spans="15:71">
      <c r="O134" s="226"/>
      <c r="P134" s="226"/>
      <c r="Z134" s="226"/>
      <c r="AA134" s="226"/>
      <c r="AK134" s="226"/>
      <c r="AL134" s="226"/>
      <c r="AV134" s="226"/>
      <c r="AW134" s="226"/>
      <c r="BG134" s="226"/>
      <c r="BH134" s="226"/>
      <c r="BR134" s="226"/>
      <c r="BS134" s="226"/>
    </row>
    <row r="135" ht="12.5" spans="15:71">
      <c r="O135" s="226"/>
      <c r="P135" s="226"/>
      <c r="Z135" s="226"/>
      <c r="AA135" s="226"/>
      <c r="AK135" s="226"/>
      <c r="AL135" s="226"/>
      <c r="AV135" s="226"/>
      <c r="AW135" s="226"/>
      <c r="BG135" s="226"/>
      <c r="BH135" s="226"/>
      <c r="BR135" s="226"/>
      <c r="BS135" s="226"/>
    </row>
    <row r="136" ht="12.5" spans="15:71">
      <c r="O136" s="226"/>
      <c r="P136" s="226"/>
      <c r="Z136" s="226"/>
      <c r="AA136" s="226"/>
      <c r="AK136" s="226"/>
      <c r="AL136" s="226"/>
      <c r="AV136" s="226"/>
      <c r="AW136" s="226"/>
      <c r="BG136" s="226"/>
      <c r="BH136" s="226"/>
      <c r="BR136" s="226"/>
      <c r="BS136" s="226"/>
    </row>
    <row r="137" ht="12.5" spans="15:71">
      <c r="O137" s="226"/>
      <c r="P137" s="226"/>
      <c r="Z137" s="226"/>
      <c r="AA137" s="226"/>
      <c r="AK137" s="226"/>
      <c r="AL137" s="226"/>
      <c r="AV137" s="226"/>
      <c r="AW137" s="226"/>
      <c r="BG137" s="226"/>
      <c r="BH137" s="226"/>
      <c r="BR137" s="226"/>
      <c r="BS137" s="226"/>
    </row>
    <row r="138" ht="12.5" spans="15:71">
      <c r="O138" s="226"/>
      <c r="P138" s="226"/>
      <c r="Z138" s="226"/>
      <c r="AA138" s="226"/>
      <c r="AK138" s="226"/>
      <c r="AL138" s="226"/>
      <c r="AV138" s="226"/>
      <c r="AW138" s="226"/>
      <c r="BG138" s="226"/>
      <c r="BH138" s="226"/>
      <c r="BR138" s="226"/>
      <c r="BS138" s="226"/>
    </row>
    <row r="139" ht="12.5" spans="15:71">
      <c r="O139" s="226"/>
      <c r="P139" s="226"/>
      <c r="Z139" s="226"/>
      <c r="AA139" s="226"/>
      <c r="AK139" s="226"/>
      <c r="AL139" s="226"/>
      <c r="AV139" s="226"/>
      <c r="AW139" s="226"/>
      <c r="BG139" s="226"/>
      <c r="BH139" s="226"/>
      <c r="BR139" s="226"/>
      <c r="BS139" s="226"/>
    </row>
    <row r="140" ht="12.5" spans="15:71">
      <c r="O140" s="226"/>
      <c r="P140" s="226"/>
      <c r="Z140" s="226"/>
      <c r="AA140" s="226"/>
      <c r="AK140" s="226"/>
      <c r="AL140" s="226"/>
      <c r="AV140" s="226"/>
      <c r="AW140" s="226"/>
      <c r="BG140" s="226"/>
      <c r="BH140" s="226"/>
      <c r="BR140" s="226"/>
      <c r="BS140" s="226"/>
    </row>
    <row r="141" ht="12.5" spans="15:71">
      <c r="O141" s="226"/>
      <c r="P141" s="226"/>
      <c r="Z141" s="226"/>
      <c r="AA141" s="226"/>
      <c r="AK141" s="226"/>
      <c r="AL141" s="226"/>
      <c r="AV141" s="226"/>
      <c r="AW141" s="226"/>
      <c r="BG141" s="226"/>
      <c r="BH141" s="226"/>
      <c r="BR141" s="226"/>
      <c r="BS141" s="226"/>
    </row>
    <row r="142" ht="12.5" spans="15:71">
      <c r="O142" s="226"/>
      <c r="P142" s="226"/>
      <c r="Z142" s="226"/>
      <c r="AA142" s="226"/>
      <c r="AK142" s="226"/>
      <c r="AL142" s="226"/>
      <c r="AV142" s="226"/>
      <c r="AW142" s="226"/>
      <c r="BG142" s="226"/>
      <c r="BH142" s="226"/>
      <c r="BR142" s="226"/>
      <c r="BS142" s="226"/>
    </row>
    <row r="143" ht="12.5" spans="15:71">
      <c r="O143" s="226"/>
      <c r="P143" s="226"/>
      <c r="Z143" s="226"/>
      <c r="AA143" s="226"/>
      <c r="AK143" s="226"/>
      <c r="AL143" s="226"/>
      <c r="AV143" s="226"/>
      <c r="AW143" s="226"/>
      <c r="BG143" s="226"/>
      <c r="BH143" s="226"/>
      <c r="BR143" s="226"/>
      <c r="BS143" s="226"/>
    </row>
    <row r="144" ht="12.5" spans="15:71">
      <c r="O144" s="226"/>
      <c r="P144" s="226"/>
      <c r="Z144" s="226"/>
      <c r="AA144" s="226"/>
      <c r="AK144" s="226"/>
      <c r="AL144" s="226"/>
      <c r="AV144" s="226"/>
      <c r="AW144" s="226"/>
      <c r="BG144" s="226"/>
      <c r="BH144" s="226"/>
      <c r="BR144" s="226"/>
      <c r="BS144" s="226"/>
    </row>
    <row r="145" ht="12.5" spans="15:71">
      <c r="O145" s="226"/>
      <c r="P145" s="226"/>
      <c r="Z145" s="226"/>
      <c r="AA145" s="226"/>
      <c r="AK145" s="226"/>
      <c r="AL145" s="226"/>
      <c r="AV145" s="226"/>
      <c r="AW145" s="226"/>
      <c r="BG145" s="226"/>
      <c r="BH145" s="226"/>
      <c r="BR145" s="226"/>
      <c r="BS145" s="226"/>
    </row>
    <row r="146" ht="12.5" spans="15:71">
      <c r="O146" s="226"/>
      <c r="P146" s="226"/>
      <c r="Z146" s="226"/>
      <c r="AA146" s="226"/>
      <c r="AK146" s="226"/>
      <c r="AL146" s="226"/>
      <c r="AV146" s="226"/>
      <c r="AW146" s="226"/>
      <c r="BG146" s="226"/>
      <c r="BH146" s="226"/>
      <c r="BR146" s="226"/>
      <c r="BS146" s="226"/>
    </row>
    <row r="147" ht="12.5" spans="15:71">
      <c r="O147" s="226"/>
      <c r="P147" s="226"/>
      <c r="Z147" s="226"/>
      <c r="AA147" s="226"/>
      <c r="AK147" s="226"/>
      <c r="AL147" s="226"/>
      <c r="AV147" s="226"/>
      <c r="AW147" s="226"/>
      <c r="BG147" s="226"/>
      <c r="BH147" s="226"/>
      <c r="BR147" s="226"/>
      <c r="BS147" s="226"/>
    </row>
    <row r="148" ht="12.5" spans="15:71">
      <c r="O148" s="226"/>
      <c r="P148" s="226"/>
      <c r="Z148" s="226"/>
      <c r="AA148" s="226"/>
      <c r="AK148" s="226"/>
      <c r="AL148" s="226"/>
      <c r="AV148" s="226"/>
      <c r="AW148" s="226"/>
      <c r="BG148" s="226"/>
      <c r="BH148" s="226"/>
      <c r="BR148" s="226"/>
      <c r="BS148" s="226"/>
    </row>
    <row r="149" ht="12.5" spans="15:71">
      <c r="O149" s="226"/>
      <c r="P149" s="226"/>
      <c r="Z149" s="226"/>
      <c r="AA149" s="226"/>
      <c r="AK149" s="226"/>
      <c r="AL149" s="226"/>
      <c r="AV149" s="226"/>
      <c r="AW149" s="226"/>
      <c r="BG149" s="226"/>
      <c r="BH149" s="226"/>
      <c r="BR149" s="226"/>
      <c r="BS149" s="226"/>
    </row>
    <row r="150" ht="12.5" spans="15:71">
      <c r="O150" s="226"/>
      <c r="P150" s="226"/>
      <c r="Z150" s="226"/>
      <c r="AA150" s="226"/>
      <c r="AK150" s="226"/>
      <c r="AL150" s="226"/>
      <c r="AV150" s="226"/>
      <c r="AW150" s="226"/>
      <c r="BG150" s="226"/>
      <c r="BH150" s="226"/>
      <c r="BR150" s="226"/>
      <c r="BS150" s="226"/>
    </row>
    <row r="151" ht="12.5" spans="15:71">
      <c r="O151" s="226"/>
      <c r="P151" s="226"/>
      <c r="Z151" s="226"/>
      <c r="AA151" s="226"/>
      <c r="AK151" s="226"/>
      <c r="AL151" s="226"/>
      <c r="AV151" s="226"/>
      <c r="AW151" s="226"/>
      <c r="BG151" s="226"/>
      <c r="BH151" s="226"/>
      <c r="BR151" s="226"/>
      <c r="BS151" s="226"/>
    </row>
    <row r="152" ht="12.5" spans="15:71">
      <c r="O152" s="226"/>
      <c r="P152" s="226"/>
      <c r="Z152" s="226"/>
      <c r="AA152" s="226"/>
      <c r="AK152" s="226"/>
      <c r="AL152" s="226"/>
      <c r="AV152" s="226"/>
      <c r="AW152" s="226"/>
      <c r="BG152" s="226"/>
      <c r="BH152" s="226"/>
      <c r="BR152" s="226"/>
      <c r="BS152" s="226"/>
    </row>
    <row r="153" ht="12.5" spans="15:71">
      <c r="O153" s="226"/>
      <c r="P153" s="226"/>
      <c r="Z153" s="226"/>
      <c r="AA153" s="226"/>
      <c r="AK153" s="226"/>
      <c r="AL153" s="226"/>
      <c r="AV153" s="226"/>
      <c r="AW153" s="226"/>
      <c r="BG153" s="226"/>
      <c r="BH153" s="226"/>
      <c r="BR153" s="226"/>
      <c r="BS153" s="226"/>
    </row>
    <row r="154" ht="12.5" spans="15:71">
      <c r="O154" s="226"/>
      <c r="P154" s="226"/>
      <c r="Z154" s="226"/>
      <c r="AA154" s="226"/>
      <c r="AK154" s="226"/>
      <c r="AL154" s="226"/>
      <c r="AV154" s="226"/>
      <c r="AW154" s="226"/>
      <c r="BG154" s="226"/>
      <c r="BH154" s="226"/>
      <c r="BR154" s="226"/>
      <c r="BS154" s="226"/>
    </row>
    <row r="155" ht="12.5" spans="15:71">
      <c r="O155" s="226"/>
      <c r="P155" s="226"/>
      <c r="Z155" s="226"/>
      <c r="AA155" s="226"/>
      <c r="AK155" s="226"/>
      <c r="AL155" s="226"/>
      <c r="AV155" s="226"/>
      <c r="AW155" s="226"/>
      <c r="BG155" s="226"/>
      <c r="BH155" s="226"/>
      <c r="BR155" s="226"/>
      <c r="BS155" s="226"/>
    </row>
    <row r="156" ht="12.5" spans="15:71">
      <c r="O156" s="226"/>
      <c r="P156" s="226"/>
      <c r="Z156" s="226"/>
      <c r="AA156" s="226"/>
      <c r="AK156" s="226"/>
      <c r="AL156" s="226"/>
      <c r="AV156" s="226"/>
      <c r="AW156" s="226"/>
      <c r="BG156" s="226"/>
      <c r="BH156" s="226"/>
      <c r="BR156" s="226"/>
      <c r="BS156" s="226"/>
    </row>
    <row r="157" ht="12.5" spans="15:71">
      <c r="O157" s="226"/>
      <c r="P157" s="226"/>
      <c r="Z157" s="226"/>
      <c r="AA157" s="226"/>
      <c r="AK157" s="226"/>
      <c r="AL157" s="226"/>
      <c r="AV157" s="226"/>
      <c r="AW157" s="226"/>
      <c r="BG157" s="226"/>
      <c r="BH157" s="226"/>
      <c r="BR157" s="226"/>
      <c r="BS157" s="226"/>
    </row>
    <row r="158" ht="12.5" spans="15:71">
      <c r="O158" s="226"/>
      <c r="P158" s="226"/>
      <c r="Z158" s="226"/>
      <c r="AA158" s="226"/>
      <c r="AK158" s="226"/>
      <c r="AL158" s="226"/>
      <c r="AV158" s="226"/>
      <c r="AW158" s="226"/>
      <c r="BG158" s="226"/>
      <c r="BH158" s="226"/>
      <c r="BR158" s="226"/>
      <c r="BS158" s="226"/>
    </row>
    <row r="159" ht="12.5" spans="15:71">
      <c r="O159" s="226"/>
      <c r="P159" s="226"/>
      <c r="Z159" s="226"/>
      <c r="AA159" s="226"/>
      <c r="AK159" s="226"/>
      <c r="AL159" s="226"/>
      <c r="AV159" s="226"/>
      <c r="AW159" s="226"/>
      <c r="BG159" s="226"/>
      <c r="BH159" s="226"/>
      <c r="BR159" s="226"/>
      <c r="BS159" s="226"/>
    </row>
    <row r="160" ht="12.5" spans="15:71">
      <c r="O160" s="226"/>
      <c r="P160" s="226"/>
      <c r="Z160" s="226"/>
      <c r="AA160" s="226"/>
      <c r="AK160" s="226"/>
      <c r="AL160" s="226"/>
      <c r="AV160" s="226"/>
      <c r="AW160" s="226"/>
      <c r="BG160" s="226"/>
      <c r="BH160" s="226"/>
      <c r="BR160" s="226"/>
      <c r="BS160" s="226"/>
    </row>
    <row r="161" ht="12.5" spans="15:71">
      <c r="O161" s="226"/>
      <c r="P161" s="226"/>
      <c r="Z161" s="226"/>
      <c r="AA161" s="226"/>
      <c r="AK161" s="226"/>
      <c r="AL161" s="226"/>
      <c r="AV161" s="226"/>
      <c r="AW161" s="226"/>
      <c r="BG161" s="226"/>
      <c r="BH161" s="226"/>
      <c r="BR161" s="226"/>
      <c r="BS161" s="226"/>
    </row>
    <row r="162" ht="12.5" spans="15:71">
      <c r="O162" s="226"/>
      <c r="P162" s="226"/>
      <c r="Z162" s="226"/>
      <c r="AA162" s="226"/>
      <c r="AK162" s="226"/>
      <c r="AL162" s="226"/>
      <c r="AV162" s="226"/>
      <c r="AW162" s="226"/>
      <c r="BG162" s="226"/>
      <c r="BH162" s="226"/>
      <c r="BR162" s="226"/>
      <c r="BS162" s="226"/>
    </row>
    <row r="163" ht="12.5" spans="15:71">
      <c r="O163" s="226"/>
      <c r="P163" s="226"/>
      <c r="Z163" s="226"/>
      <c r="AA163" s="226"/>
      <c r="AK163" s="226"/>
      <c r="AL163" s="226"/>
      <c r="AV163" s="226"/>
      <c r="AW163" s="226"/>
      <c r="BG163" s="226"/>
      <c r="BH163" s="226"/>
      <c r="BR163" s="226"/>
      <c r="BS163" s="226"/>
    </row>
    <row r="164" ht="12.5" spans="15:71">
      <c r="O164" s="226"/>
      <c r="P164" s="226"/>
      <c r="Z164" s="226"/>
      <c r="AA164" s="226"/>
      <c r="AK164" s="226"/>
      <c r="AL164" s="226"/>
      <c r="AV164" s="226"/>
      <c r="AW164" s="226"/>
      <c r="BG164" s="226"/>
      <c r="BH164" s="226"/>
      <c r="BR164" s="226"/>
      <c r="BS164" s="226"/>
    </row>
    <row r="165" ht="12.5" spans="15:71">
      <c r="O165" s="226"/>
      <c r="P165" s="226"/>
      <c r="Z165" s="226"/>
      <c r="AA165" s="226"/>
      <c r="AK165" s="226"/>
      <c r="AL165" s="226"/>
      <c r="AV165" s="226"/>
      <c r="AW165" s="226"/>
      <c r="BG165" s="226"/>
      <c r="BH165" s="226"/>
      <c r="BR165" s="226"/>
      <c r="BS165" s="226"/>
    </row>
    <row r="166" ht="12.5" spans="15:71">
      <c r="O166" s="226"/>
      <c r="P166" s="226"/>
      <c r="Z166" s="226"/>
      <c r="AA166" s="226"/>
      <c r="AK166" s="226"/>
      <c r="AL166" s="226"/>
      <c r="AV166" s="226"/>
      <c r="AW166" s="226"/>
      <c r="BG166" s="226"/>
      <c r="BH166" s="226"/>
      <c r="BR166" s="226"/>
      <c r="BS166" s="226"/>
    </row>
    <row r="167" ht="12.5" spans="15:71">
      <c r="O167" s="226"/>
      <c r="P167" s="226"/>
      <c r="Z167" s="226"/>
      <c r="AA167" s="226"/>
      <c r="AK167" s="226"/>
      <c r="AL167" s="226"/>
      <c r="AV167" s="226"/>
      <c r="AW167" s="226"/>
      <c r="BG167" s="226"/>
      <c r="BH167" s="226"/>
      <c r="BR167" s="226"/>
      <c r="BS167" s="226"/>
    </row>
    <row r="168" ht="12.5" spans="15:71">
      <c r="O168" s="226"/>
      <c r="P168" s="226"/>
      <c r="Z168" s="226"/>
      <c r="AA168" s="226"/>
      <c r="AK168" s="226"/>
      <c r="AL168" s="226"/>
      <c r="AV168" s="226"/>
      <c r="AW168" s="226"/>
      <c r="BG168" s="226"/>
      <c r="BH168" s="226"/>
      <c r="BR168" s="226"/>
      <c r="BS168" s="226"/>
    </row>
    <row r="169" ht="12.5" spans="15:71">
      <c r="O169" s="226"/>
      <c r="P169" s="226"/>
      <c r="Z169" s="226"/>
      <c r="AA169" s="226"/>
      <c r="AK169" s="226"/>
      <c r="AL169" s="226"/>
      <c r="AV169" s="226"/>
      <c r="AW169" s="226"/>
      <c r="BG169" s="226"/>
      <c r="BH169" s="226"/>
      <c r="BR169" s="226"/>
      <c r="BS169" s="226"/>
    </row>
    <row r="170" ht="12.5" spans="15:71">
      <c r="O170" s="226"/>
      <c r="P170" s="226"/>
      <c r="Z170" s="226"/>
      <c r="AA170" s="226"/>
      <c r="AK170" s="226"/>
      <c r="AL170" s="226"/>
      <c r="AV170" s="226"/>
      <c r="AW170" s="226"/>
      <c r="BG170" s="226"/>
      <c r="BH170" s="226"/>
      <c r="BR170" s="226"/>
      <c r="BS170" s="226"/>
    </row>
    <row r="171" ht="12.5" spans="15:71">
      <c r="O171" s="226"/>
      <c r="P171" s="226"/>
      <c r="Z171" s="226"/>
      <c r="AA171" s="226"/>
      <c r="AK171" s="226"/>
      <c r="AL171" s="226"/>
      <c r="AV171" s="226"/>
      <c r="AW171" s="226"/>
      <c r="BG171" s="226"/>
      <c r="BH171" s="226"/>
      <c r="BR171" s="226"/>
      <c r="BS171" s="226"/>
    </row>
    <row r="172" ht="12.5" spans="15:71">
      <c r="O172" s="226"/>
      <c r="P172" s="226"/>
      <c r="Z172" s="226"/>
      <c r="AA172" s="226"/>
      <c r="AK172" s="226"/>
      <c r="AL172" s="226"/>
      <c r="AV172" s="226"/>
      <c r="AW172" s="226"/>
      <c r="BG172" s="226"/>
      <c r="BH172" s="226"/>
      <c r="BR172" s="226"/>
      <c r="BS172" s="226"/>
    </row>
    <row r="173" ht="12.5" spans="15:71">
      <c r="O173" s="226"/>
      <c r="P173" s="226"/>
      <c r="Z173" s="226"/>
      <c r="AA173" s="226"/>
      <c r="AK173" s="226"/>
      <c r="AL173" s="226"/>
      <c r="AV173" s="226"/>
      <c r="AW173" s="226"/>
      <c r="BG173" s="226"/>
      <c r="BH173" s="226"/>
      <c r="BR173" s="226"/>
      <c r="BS173" s="226"/>
    </row>
    <row r="174" ht="12.5" spans="15:71">
      <c r="O174" s="226"/>
      <c r="P174" s="226"/>
      <c r="Z174" s="226"/>
      <c r="AA174" s="226"/>
      <c r="AK174" s="226"/>
      <c r="AL174" s="226"/>
      <c r="AV174" s="226"/>
      <c r="AW174" s="226"/>
      <c r="BG174" s="226"/>
      <c r="BH174" s="226"/>
      <c r="BR174" s="226"/>
      <c r="BS174" s="226"/>
    </row>
    <row r="175" ht="12.5" spans="15:71">
      <c r="O175" s="226"/>
      <c r="P175" s="226"/>
      <c r="Z175" s="226"/>
      <c r="AA175" s="226"/>
      <c r="AK175" s="226"/>
      <c r="AL175" s="226"/>
      <c r="AV175" s="226"/>
      <c r="AW175" s="226"/>
      <c r="BG175" s="226"/>
      <c r="BH175" s="226"/>
      <c r="BR175" s="226"/>
      <c r="BS175" s="226"/>
    </row>
    <row r="176" ht="12.5" spans="15:71">
      <c r="O176" s="226"/>
      <c r="P176" s="226"/>
      <c r="Z176" s="226"/>
      <c r="AA176" s="226"/>
      <c r="AK176" s="226"/>
      <c r="AL176" s="226"/>
      <c r="AV176" s="226"/>
      <c r="AW176" s="226"/>
      <c r="BG176" s="226"/>
      <c r="BH176" s="226"/>
      <c r="BR176" s="226"/>
      <c r="BS176" s="226"/>
    </row>
    <row r="177" ht="12.5" spans="15:71">
      <c r="O177" s="226"/>
      <c r="P177" s="226"/>
      <c r="Z177" s="226"/>
      <c r="AA177" s="226"/>
      <c r="AK177" s="226"/>
      <c r="AL177" s="226"/>
      <c r="AV177" s="226"/>
      <c r="AW177" s="226"/>
      <c r="BG177" s="226"/>
      <c r="BH177" s="226"/>
      <c r="BR177" s="226"/>
      <c r="BS177" s="226"/>
    </row>
    <row r="178" ht="12.5" spans="15:71">
      <c r="O178" s="226"/>
      <c r="P178" s="226"/>
      <c r="Z178" s="226"/>
      <c r="AA178" s="226"/>
      <c r="AK178" s="226"/>
      <c r="AL178" s="226"/>
      <c r="AV178" s="226"/>
      <c r="AW178" s="226"/>
      <c r="BG178" s="226"/>
      <c r="BH178" s="226"/>
      <c r="BR178" s="226"/>
      <c r="BS178" s="226"/>
    </row>
    <row r="179" ht="12.5" spans="15:71">
      <c r="O179" s="226"/>
      <c r="P179" s="226"/>
      <c r="Z179" s="226"/>
      <c r="AA179" s="226"/>
      <c r="AK179" s="226"/>
      <c r="AL179" s="226"/>
      <c r="AV179" s="226"/>
      <c r="AW179" s="226"/>
      <c r="BG179" s="226"/>
      <c r="BH179" s="226"/>
      <c r="BR179" s="226"/>
      <c r="BS179" s="226"/>
    </row>
    <row r="180" ht="12.5" spans="15:71">
      <c r="O180" s="226"/>
      <c r="P180" s="226"/>
      <c r="Z180" s="226"/>
      <c r="AA180" s="226"/>
      <c r="AK180" s="226"/>
      <c r="AL180" s="226"/>
      <c r="AV180" s="226"/>
      <c r="AW180" s="226"/>
      <c r="BG180" s="226"/>
      <c r="BH180" s="226"/>
      <c r="BR180" s="226"/>
      <c r="BS180" s="226"/>
    </row>
    <row r="181" ht="12.5" spans="15:71">
      <c r="O181" s="226"/>
      <c r="P181" s="226"/>
      <c r="Z181" s="226"/>
      <c r="AA181" s="226"/>
      <c r="AK181" s="226"/>
      <c r="AL181" s="226"/>
      <c r="AV181" s="226"/>
      <c r="AW181" s="226"/>
      <c r="BG181" s="226"/>
      <c r="BH181" s="226"/>
      <c r="BR181" s="226"/>
      <c r="BS181" s="226"/>
    </row>
    <row r="182" ht="12.5" spans="15:71">
      <c r="O182" s="226"/>
      <c r="P182" s="226"/>
      <c r="Z182" s="226"/>
      <c r="AA182" s="226"/>
      <c r="AK182" s="226"/>
      <c r="AL182" s="226"/>
      <c r="AV182" s="226"/>
      <c r="AW182" s="226"/>
      <c r="BG182" s="226"/>
      <c r="BH182" s="226"/>
      <c r="BR182" s="226"/>
      <c r="BS182" s="226"/>
    </row>
    <row r="183" ht="12.5" spans="15:71">
      <c r="O183" s="226"/>
      <c r="P183" s="226"/>
      <c r="Z183" s="226"/>
      <c r="AA183" s="226"/>
      <c r="AK183" s="226"/>
      <c r="AL183" s="226"/>
      <c r="AV183" s="226"/>
      <c r="AW183" s="226"/>
      <c r="BG183" s="226"/>
      <c r="BH183" s="226"/>
      <c r="BR183" s="226"/>
      <c r="BS183" s="226"/>
    </row>
    <row r="184" ht="12.5" spans="15:71">
      <c r="O184" s="226"/>
      <c r="P184" s="226"/>
      <c r="Z184" s="226"/>
      <c r="AA184" s="226"/>
      <c r="AK184" s="226"/>
      <c r="AL184" s="226"/>
      <c r="AV184" s="226"/>
      <c r="AW184" s="226"/>
      <c r="BG184" s="226"/>
      <c r="BH184" s="226"/>
      <c r="BR184" s="226"/>
      <c r="BS184" s="226"/>
    </row>
    <row r="185" ht="12.5" spans="15:71">
      <c r="O185" s="226"/>
      <c r="P185" s="226"/>
      <c r="Z185" s="226"/>
      <c r="AA185" s="226"/>
      <c r="AK185" s="226"/>
      <c r="AL185" s="226"/>
      <c r="AV185" s="226"/>
      <c r="AW185" s="226"/>
      <c r="BG185" s="226"/>
      <c r="BH185" s="226"/>
      <c r="BR185" s="226"/>
      <c r="BS185" s="226"/>
    </row>
    <row r="186" ht="12.5" spans="15:71">
      <c r="O186" s="226"/>
      <c r="P186" s="226"/>
      <c r="Z186" s="226"/>
      <c r="AA186" s="226"/>
      <c r="AK186" s="226"/>
      <c r="AL186" s="226"/>
      <c r="AV186" s="226"/>
      <c r="AW186" s="226"/>
      <c r="BG186" s="226"/>
      <c r="BH186" s="226"/>
      <c r="BR186" s="226"/>
      <c r="BS186" s="226"/>
    </row>
    <row r="187" ht="12.5" spans="15:71">
      <c r="O187" s="226"/>
      <c r="P187" s="226"/>
      <c r="Z187" s="226"/>
      <c r="AA187" s="226"/>
      <c r="AK187" s="226"/>
      <c r="AL187" s="226"/>
      <c r="AV187" s="226"/>
      <c r="AW187" s="226"/>
      <c r="BG187" s="226"/>
      <c r="BH187" s="226"/>
      <c r="BR187" s="226"/>
      <c r="BS187" s="226"/>
    </row>
    <row r="188" ht="12.5" spans="15:71">
      <c r="O188" s="226"/>
      <c r="P188" s="226"/>
      <c r="Z188" s="226"/>
      <c r="AA188" s="226"/>
      <c r="AK188" s="226"/>
      <c r="AL188" s="226"/>
      <c r="AV188" s="226"/>
      <c r="AW188" s="226"/>
      <c r="BG188" s="226"/>
      <c r="BH188" s="226"/>
      <c r="BR188" s="226"/>
      <c r="BS188" s="226"/>
    </row>
    <row r="189" ht="12.5" spans="15:71">
      <c r="O189" s="226"/>
      <c r="P189" s="226"/>
      <c r="Z189" s="226"/>
      <c r="AA189" s="226"/>
      <c r="AK189" s="226"/>
      <c r="AL189" s="226"/>
      <c r="AV189" s="226"/>
      <c r="AW189" s="226"/>
      <c r="BG189" s="226"/>
      <c r="BH189" s="226"/>
      <c r="BR189" s="226"/>
      <c r="BS189" s="226"/>
    </row>
    <row r="190" ht="12.5" spans="15:71">
      <c r="O190" s="226"/>
      <c r="P190" s="226"/>
      <c r="Z190" s="226"/>
      <c r="AA190" s="226"/>
      <c r="AK190" s="226"/>
      <c r="AL190" s="226"/>
      <c r="AV190" s="226"/>
      <c r="AW190" s="226"/>
      <c r="BG190" s="226"/>
      <c r="BH190" s="226"/>
      <c r="BR190" s="226"/>
      <c r="BS190" s="226"/>
    </row>
    <row r="191" ht="12.5" spans="15:71">
      <c r="O191" s="226"/>
      <c r="P191" s="226"/>
      <c r="Z191" s="226"/>
      <c r="AA191" s="226"/>
      <c r="AK191" s="226"/>
      <c r="AL191" s="226"/>
      <c r="AV191" s="226"/>
      <c r="AW191" s="226"/>
      <c r="BG191" s="226"/>
      <c r="BH191" s="226"/>
      <c r="BR191" s="226"/>
      <c r="BS191" s="226"/>
    </row>
    <row r="192" ht="12.5" spans="15:71">
      <c r="O192" s="226"/>
      <c r="P192" s="226"/>
      <c r="Z192" s="226"/>
      <c r="AA192" s="226"/>
      <c r="AK192" s="226"/>
      <c r="AL192" s="226"/>
      <c r="AV192" s="226"/>
      <c r="AW192" s="226"/>
      <c r="BG192" s="226"/>
      <c r="BH192" s="226"/>
      <c r="BR192" s="226"/>
      <c r="BS192" s="226"/>
    </row>
    <row r="193" ht="12.5" spans="15:71">
      <c r="O193" s="226"/>
      <c r="P193" s="226"/>
      <c r="Z193" s="226"/>
      <c r="AA193" s="226"/>
      <c r="AK193" s="226"/>
      <c r="AL193" s="226"/>
      <c r="AV193" s="226"/>
      <c r="AW193" s="226"/>
      <c r="BG193" s="226"/>
      <c r="BH193" s="226"/>
      <c r="BR193" s="226"/>
      <c r="BS193" s="226"/>
    </row>
    <row r="194" ht="12.5" spans="15:71">
      <c r="O194" s="226"/>
      <c r="P194" s="226"/>
      <c r="Z194" s="226"/>
      <c r="AA194" s="226"/>
      <c r="AK194" s="226"/>
      <c r="AL194" s="226"/>
      <c r="AV194" s="226"/>
      <c r="AW194" s="226"/>
      <c r="BG194" s="226"/>
      <c r="BH194" s="226"/>
      <c r="BR194" s="226"/>
      <c r="BS194" s="226"/>
    </row>
    <row r="195" ht="12.5" spans="15:71">
      <c r="O195" s="226"/>
      <c r="P195" s="226"/>
      <c r="Z195" s="226"/>
      <c r="AA195" s="226"/>
      <c r="AK195" s="226"/>
      <c r="AL195" s="226"/>
      <c r="AV195" s="226"/>
      <c r="AW195" s="226"/>
      <c r="BG195" s="226"/>
      <c r="BH195" s="226"/>
      <c r="BR195" s="226"/>
      <c r="BS195" s="226"/>
    </row>
    <row r="196" ht="12.5" spans="15:71">
      <c r="O196" s="226"/>
      <c r="P196" s="226"/>
      <c r="Z196" s="226"/>
      <c r="AA196" s="226"/>
      <c r="AK196" s="226"/>
      <c r="AL196" s="226"/>
      <c r="AV196" s="226"/>
      <c r="AW196" s="226"/>
      <c r="BG196" s="226"/>
      <c r="BH196" s="226"/>
      <c r="BR196" s="226"/>
      <c r="BS196" s="226"/>
    </row>
    <row r="197" ht="12.5" spans="15:71">
      <c r="O197" s="226"/>
      <c r="P197" s="226"/>
      <c r="Z197" s="226"/>
      <c r="AA197" s="226"/>
      <c r="AK197" s="226"/>
      <c r="AL197" s="226"/>
      <c r="AV197" s="226"/>
      <c r="AW197" s="226"/>
      <c r="BG197" s="226"/>
      <c r="BH197" s="226"/>
      <c r="BR197" s="226"/>
      <c r="BS197" s="226"/>
    </row>
    <row r="198" ht="12.5" spans="15:71">
      <c r="O198" s="226"/>
      <c r="P198" s="226"/>
      <c r="Z198" s="226"/>
      <c r="AA198" s="226"/>
      <c r="AK198" s="226"/>
      <c r="AL198" s="226"/>
      <c r="AV198" s="226"/>
      <c r="AW198" s="226"/>
      <c r="BG198" s="226"/>
      <c r="BH198" s="226"/>
      <c r="BR198" s="226"/>
      <c r="BS198" s="226"/>
    </row>
    <row r="199" ht="12.5" spans="15:71">
      <c r="O199" s="226"/>
      <c r="P199" s="226"/>
      <c r="Z199" s="226"/>
      <c r="AA199" s="226"/>
      <c r="AK199" s="226"/>
      <c r="AL199" s="226"/>
      <c r="AV199" s="226"/>
      <c r="AW199" s="226"/>
      <c r="BG199" s="226"/>
      <c r="BH199" s="226"/>
      <c r="BR199" s="226"/>
      <c r="BS199" s="226"/>
    </row>
    <row r="200" ht="12.5" spans="15:71">
      <c r="O200" s="226"/>
      <c r="P200" s="226"/>
      <c r="Z200" s="226"/>
      <c r="AA200" s="226"/>
      <c r="AK200" s="226"/>
      <c r="AL200" s="226"/>
      <c r="AV200" s="226"/>
      <c r="AW200" s="226"/>
      <c r="BG200" s="226"/>
      <c r="BH200" s="226"/>
      <c r="BR200" s="226"/>
      <c r="BS200" s="226"/>
    </row>
    <row r="201" ht="12.5" spans="15:71">
      <c r="O201" s="226"/>
      <c r="P201" s="226"/>
      <c r="Z201" s="226"/>
      <c r="AA201" s="226"/>
      <c r="AK201" s="226"/>
      <c r="AL201" s="226"/>
      <c r="AV201" s="226"/>
      <c r="AW201" s="226"/>
      <c r="BG201" s="226"/>
      <c r="BH201" s="226"/>
      <c r="BR201" s="226"/>
      <c r="BS201" s="226"/>
    </row>
    <row r="202" ht="12.5" spans="15:71">
      <c r="O202" s="226"/>
      <c r="P202" s="226"/>
      <c r="Z202" s="226"/>
      <c r="AA202" s="226"/>
      <c r="AK202" s="226"/>
      <c r="AL202" s="226"/>
      <c r="AV202" s="226"/>
      <c r="AW202" s="226"/>
      <c r="BG202" s="226"/>
      <c r="BH202" s="226"/>
      <c r="BR202" s="226"/>
      <c r="BS202" s="226"/>
    </row>
    <row r="203" ht="12.5" spans="15:71">
      <c r="O203" s="226"/>
      <c r="P203" s="226"/>
      <c r="Z203" s="226"/>
      <c r="AA203" s="226"/>
      <c r="AK203" s="226"/>
      <c r="AL203" s="226"/>
      <c r="AV203" s="226"/>
      <c r="AW203" s="226"/>
      <c r="BG203" s="226"/>
      <c r="BH203" s="226"/>
      <c r="BR203" s="226"/>
      <c r="BS203" s="226"/>
    </row>
    <row r="204" ht="12.5" spans="15:71">
      <c r="O204" s="226"/>
      <c r="P204" s="226"/>
      <c r="Z204" s="226"/>
      <c r="AA204" s="226"/>
      <c r="AK204" s="226"/>
      <c r="AL204" s="226"/>
      <c r="AV204" s="226"/>
      <c r="AW204" s="226"/>
      <c r="BG204" s="226"/>
      <c r="BH204" s="226"/>
      <c r="BR204" s="226"/>
      <c r="BS204" s="226"/>
    </row>
    <row r="205" ht="12.5" spans="15:71">
      <c r="O205" s="226"/>
      <c r="P205" s="226"/>
      <c r="Z205" s="226"/>
      <c r="AA205" s="226"/>
      <c r="AK205" s="226"/>
      <c r="AL205" s="226"/>
      <c r="AV205" s="226"/>
      <c r="AW205" s="226"/>
      <c r="BG205" s="226"/>
      <c r="BH205" s="226"/>
      <c r="BR205" s="226"/>
      <c r="BS205" s="226"/>
    </row>
    <row r="206" ht="12.5" spans="15:71">
      <c r="O206" s="226"/>
      <c r="P206" s="226"/>
      <c r="Z206" s="226"/>
      <c r="AA206" s="226"/>
      <c r="AK206" s="226"/>
      <c r="AL206" s="226"/>
      <c r="AV206" s="226"/>
      <c r="AW206" s="226"/>
      <c r="BG206" s="226"/>
      <c r="BH206" s="226"/>
      <c r="BR206" s="226"/>
      <c r="BS206" s="226"/>
    </row>
    <row r="207" ht="12.5" spans="15:71">
      <c r="O207" s="226"/>
      <c r="P207" s="226"/>
      <c r="Z207" s="226"/>
      <c r="AA207" s="226"/>
      <c r="AK207" s="226"/>
      <c r="AL207" s="226"/>
      <c r="AV207" s="226"/>
      <c r="AW207" s="226"/>
      <c r="BG207" s="226"/>
      <c r="BH207" s="226"/>
      <c r="BR207" s="226"/>
      <c r="BS207" s="226"/>
    </row>
    <row r="208" ht="12.5" spans="15:71">
      <c r="O208" s="226"/>
      <c r="P208" s="226"/>
      <c r="Z208" s="226"/>
      <c r="AA208" s="226"/>
      <c r="AK208" s="226"/>
      <c r="AL208" s="226"/>
      <c r="AV208" s="226"/>
      <c r="AW208" s="226"/>
      <c r="BG208" s="226"/>
      <c r="BH208" s="226"/>
      <c r="BR208" s="226"/>
      <c r="BS208" s="226"/>
    </row>
    <row r="209" ht="12.5" spans="15:71">
      <c r="O209" s="226"/>
      <c r="P209" s="226"/>
      <c r="Z209" s="226"/>
      <c r="AA209" s="226"/>
      <c r="AK209" s="226"/>
      <c r="AL209" s="226"/>
      <c r="AV209" s="226"/>
      <c r="AW209" s="226"/>
      <c r="BG209" s="226"/>
      <c r="BH209" s="226"/>
      <c r="BR209" s="226"/>
      <c r="BS209" s="226"/>
    </row>
    <row r="210" ht="12.5" spans="15:71">
      <c r="O210" s="226"/>
      <c r="P210" s="226"/>
      <c r="Z210" s="226"/>
      <c r="AA210" s="226"/>
      <c r="AK210" s="226"/>
      <c r="AL210" s="226"/>
      <c r="AV210" s="226"/>
      <c r="AW210" s="226"/>
      <c r="BG210" s="226"/>
      <c r="BH210" s="226"/>
      <c r="BR210" s="226"/>
      <c r="BS210" s="226"/>
    </row>
    <row r="211" ht="12.5" spans="15:71">
      <c r="O211" s="226"/>
      <c r="P211" s="226"/>
      <c r="Z211" s="226"/>
      <c r="AA211" s="226"/>
      <c r="AK211" s="226"/>
      <c r="AL211" s="226"/>
      <c r="AV211" s="226"/>
      <c r="AW211" s="226"/>
      <c r="BG211" s="226"/>
      <c r="BH211" s="226"/>
      <c r="BR211" s="226"/>
      <c r="BS211" s="226"/>
    </row>
    <row r="212" ht="12.5" spans="15:71">
      <c r="O212" s="226"/>
      <c r="P212" s="226"/>
      <c r="Z212" s="226"/>
      <c r="AA212" s="226"/>
      <c r="AK212" s="226"/>
      <c r="AL212" s="226"/>
      <c r="AV212" s="226"/>
      <c r="AW212" s="226"/>
      <c r="BG212" s="226"/>
      <c r="BH212" s="226"/>
      <c r="BR212" s="226"/>
      <c r="BS212" s="226"/>
    </row>
    <row r="213" ht="12.5" spans="15:71">
      <c r="O213" s="226"/>
      <c r="P213" s="226"/>
      <c r="Z213" s="226"/>
      <c r="AA213" s="226"/>
      <c r="AK213" s="226"/>
      <c r="AL213" s="226"/>
      <c r="AV213" s="226"/>
      <c r="AW213" s="226"/>
      <c r="BG213" s="226"/>
      <c r="BH213" s="226"/>
      <c r="BR213" s="226"/>
      <c r="BS213" s="226"/>
    </row>
    <row r="214" ht="12.5" spans="15:71">
      <c r="O214" s="226"/>
      <c r="P214" s="226"/>
      <c r="Z214" s="226"/>
      <c r="AA214" s="226"/>
      <c r="AK214" s="226"/>
      <c r="AL214" s="226"/>
      <c r="AV214" s="226"/>
      <c r="AW214" s="226"/>
      <c r="BG214" s="226"/>
      <c r="BH214" s="226"/>
      <c r="BR214" s="226"/>
      <c r="BS214" s="226"/>
    </row>
    <row r="215" ht="12.5" spans="15:71">
      <c r="O215" s="226"/>
      <c r="P215" s="226"/>
      <c r="Z215" s="226"/>
      <c r="AA215" s="226"/>
      <c r="AK215" s="226"/>
      <c r="AL215" s="226"/>
      <c r="AV215" s="226"/>
      <c r="AW215" s="226"/>
      <c r="BG215" s="226"/>
      <c r="BH215" s="226"/>
      <c r="BR215" s="226"/>
      <c r="BS215" s="226"/>
    </row>
    <row r="216" ht="12.5" spans="15:71">
      <c r="O216" s="226"/>
      <c r="P216" s="226"/>
      <c r="Z216" s="226"/>
      <c r="AA216" s="226"/>
      <c r="AK216" s="226"/>
      <c r="AL216" s="226"/>
      <c r="AV216" s="226"/>
      <c r="AW216" s="226"/>
      <c r="BG216" s="226"/>
      <c r="BH216" s="226"/>
      <c r="BR216" s="226"/>
      <c r="BS216" s="226"/>
    </row>
    <row r="217" ht="12.5" spans="15:71">
      <c r="O217" s="226"/>
      <c r="P217" s="226"/>
      <c r="Z217" s="226"/>
      <c r="AA217" s="226"/>
      <c r="AK217" s="226"/>
      <c r="AL217" s="226"/>
      <c r="AV217" s="226"/>
      <c r="AW217" s="226"/>
      <c r="BG217" s="226"/>
      <c r="BH217" s="226"/>
      <c r="BR217" s="226"/>
      <c r="BS217" s="226"/>
    </row>
    <row r="218" ht="12.5" spans="15:71">
      <c r="O218" s="226"/>
      <c r="P218" s="226"/>
      <c r="Z218" s="226"/>
      <c r="AA218" s="226"/>
      <c r="AK218" s="226"/>
      <c r="AL218" s="226"/>
      <c r="AV218" s="226"/>
      <c r="AW218" s="226"/>
      <c r="BG218" s="226"/>
      <c r="BH218" s="226"/>
      <c r="BR218" s="226"/>
      <c r="BS218" s="226"/>
    </row>
    <row r="219" ht="12.5" spans="15:71">
      <c r="O219" s="226"/>
      <c r="P219" s="226"/>
      <c r="Z219" s="226"/>
      <c r="AA219" s="226"/>
      <c r="AK219" s="226"/>
      <c r="AL219" s="226"/>
      <c r="AV219" s="226"/>
      <c r="AW219" s="226"/>
      <c r="BG219" s="226"/>
      <c r="BH219" s="226"/>
      <c r="BR219" s="226"/>
      <c r="BS219" s="226"/>
    </row>
    <row r="220" ht="12.5" spans="15:71">
      <c r="O220" s="226"/>
      <c r="P220" s="226"/>
      <c r="Z220" s="226"/>
      <c r="AA220" s="226"/>
      <c r="AK220" s="226"/>
      <c r="AL220" s="226"/>
      <c r="AV220" s="226"/>
      <c r="AW220" s="226"/>
      <c r="BG220" s="226"/>
      <c r="BH220" s="226"/>
      <c r="BR220" s="226"/>
      <c r="BS220" s="226"/>
    </row>
    <row r="221" ht="12.5" spans="15:71">
      <c r="O221" s="226"/>
      <c r="P221" s="226"/>
      <c r="Z221" s="226"/>
      <c r="AA221" s="226"/>
      <c r="AK221" s="226"/>
      <c r="AL221" s="226"/>
      <c r="AV221" s="226"/>
      <c r="AW221" s="226"/>
      <c r="BG221" s="226"/>
      <c r="BH221" s="226"/>
      <c r="BR221" s="226"/>
      <c r="BS221" s="226"/>
    </row>
    <row r="222" ht="12.5" spans="15:71">
      <c r="O222" s="226"/>
      <c r="P222" s="226"/>
      <c r="Z222" s="226"/>
      <c r="AA222" s="226"/>
      <c r="AK222" s="226"/>
      <c r="AL222" s="226"/>
      <c r="AV222" s="226"/>
      <c r="AW222" s="226"/>
      <c r="BG222" s="226"/>
      <c r="BH222" s="226"/>
      <c r="BR222" s="226"/>
      <c r="BS222" s="226"/>
    </row>
    <row r="223" ht="12.5" spans="15:71">
      <c r="O223" s="226"/>
      <c r="P223" s="226"/>
      <c r="Z223" s="226"/>
      <c r="AA223" s="226"/>
      <c r="AK223" s="226"/>
      <c r="AL223" s="226"/>
      <c r="AV223" s="226"/>
      <c r="AW223" s="226"/>
      <c r="BG223" s="226"/>
      <c r="BH223" s="226"/>
      <c r="BR223" s="226"/>
      <c r="BS223" s="226"/>
    </row>
    <row r="224" ht="12.5" spans="15:71">
      <c r="O224" s="226"/>
      <c r="P224" s="226"/>
      <c r="Z224" s="226"/>
      <c r="AA224" s="226"/>
      <c r="AK224" s="226"/>
      <c r="AL224" s="226"/>
      <c r="AV224" s="226"/>
      <c r="AW224" s="226"/>
      <c r="BG224" s="226"/>
      <c r="BH224" s="226"/>
      <c r="BR224" s="226"/>
      <c r="BS224" s="226"/>
    </row>
    <row r="225" ht="12.5" spans="15:71">
      <c r="O225" s="226"/>
      <c r="P225" s="226"/>
      <c r="Z225" s="226"/>
      <c r="AA225" s="226"/>
      <c r="AK225" s="226"/>
      <c r="AL225" s="226"/>
      <c r="AV225" s="226"/>
      <c r="AW225" s="226"/>
      <c r="BG225" s="226"/>
      <c r="BH225" s="226"/>
      <c r="BR225" s="226"/>
      <c r="BS225" s="226"/>
    </row>
    <row r="226" ht="12.5" spans="15:71">
      <c r="O226" s="226"/>
      <c r="P226" s="226"/>
      <c r="Z226" s="226"/>
      <c r="AA226" s="226"/>
      <c r="AK226" s="226"/>
      <c r="AL226" s="226"/>
      <c r="AV226" s="226"/>
      <c r="AW226" s="226"/>
      <c r="BG226" s="226"/>
      <c r="BH226" s="226"/>
      <c r="BR226" s="226"/>
      <c r="BS226" s="226"/>
    </row>
    <row r="227" ht="12.5" spans="15:71">
      <c r="O227" s="226"/>
      <c r="P227" s="226"/>
      <c r="Z227" s="226"/>
      <c r="AA227" s="226"/>
      <c r="AK227" s="226"/>
      <c r="AL227" s="226"/>
      <c r="AV227" s="226"/>
      <c r="AW227" s="226"/>
      <c r="BG227" s="226"/>
      <c r="BH227" s="226"/>
      <c r="BR227" s="226"/>
      <c r="BS227" s="226"/>
    </row>
    <row r="228" ht="12.5" spans="15:71">
      <c r="O228" s="226"/>
      <c r="P228" s="226"/>
      <c r="Z228" s="226"/>
      <c r="AA228" s="226"/>
      <c r="AK228" s="226"/>
      <c r="AL228" s="226"/>
      <c r="AV228" s="226"/>
      <c r="AW228" s="226"/>
      <c r="BG228" s="226"/>
      <c r="BH228" s="226"/>
      <c r="BR228" s="226"/>
      <c r="BS228" s="226"/>
    </row>
    <row r="229" ht="12.5" spans="15:71">
      <c r="O229" s="226"/>
      <c r="P229" s="226"/>
      <c r="Z229" s="226"/>
      <c r="AA229" s="226"/>
      <c r="AK229" s="226"/>
      <c r="AL229" s="226"/>
      <c r="AV229" s="226"/>
      <c r="AW229" s="226"/>
      <c r="BG229" s="226"/>
      <c r="BH229" s="226"/>
      <c r="BR229" s="226"/>
      <c r="BS229" s="226"/>
    </row>
    <row r="230" ht="12.5" spans="15:71">
      <c r="O230" s="226"/>
      <c r="P230" s="226"/>
      <c r="Z230" s="226"/>
      <c r="AA230" s="226"/>
      <c r="AK230" s="226"/>
      <c r="AL230" s="226"/>
      <c r="AV230" s="226"/>
      <c r="AW230" s="226"/>
      <c r="BG230" s="226"/>
      <c r="BH230" s="226"/>
      <c r="BR230" s="226"/>
      <c r="BS230" s="226"/>
    </row>
    <row r="231" ht="12.5" spans="15:71">
      <c r="O231" s="226"/>
      <c r="P231" s="226"/>
      <c r="Z231" s="226"/>
      <c r="AA231" s="226"/>
      <c r="AK231" s="226"/>
      <c r="AL231" s="226"/>
      <c r="AV231" s="226"/>
      <c r="AW231" s="226"/>
      <c r="BG231" s="226"/>
      <c r="BH231" s="226"/>
      <c r="BR231" s="226"/>
      <c r="BS231" s="226"/>
    </row>
    <row r="232" ht="12.5" spans="15:71">
      <c r="O232" s="226"/>
      <c r="P232" s="226"/>
      <c r="Z232" s="226"/>
      <c r="AA232" s="226"/>
      <c r="AK232" s="226"/>
      <c r="AL232" s="226"/>
      <c r="AV232" s="226"/>
      <c r="AW232" s="226"/>
      <c r="BG232" s="226"/>
      <c r="BH232" s="226"/>
      <c r="BR232" s="226"/>
      <c r="BS232" s="226"/>
    </row>
    <row r="233" ht="12.5" spans="15:71">
      <c r="O233" s="226"/>
      <c r="P233" s="226"/>
      <c r="Z233" s="226"/>
      <c r="AA233" s="226"/>
      <c r="AK233" s="226"/>
      <c r="AL233" s="226"/>
      <c r="AV233" s="226"/>
      <c r="AW233" s="226"/>
      <c r="BG233" s="226"/>
      <c r="BH233" s="226"/>
      <c r="BR233" s="226"/>
      <c r="BS233" s="226"/>
    </row>
    <row r="234" ht="12.5" spans="15:71">
      <c r="O234" s="226"/>
      <c r="P234" s="226"/>
      <c r="Z234" s="226"/>
      <c r="AA234" s="226"/>
      <c r="AK234" s="226"/>
      <c r="AL234" s="226"/>
      <c r="AV234" s="226"/>
      <c r="AW234" s="226"/>
      <c r="BG234" s="226"/>
      <c r="BH234" s="226"/>
      <c r="BR234" s="226"/>
      <c r="BS234" s="226"/>
    </row>
    <row r="235" ht="12.5" spans="15:71">
      <c r="O235" s="226"/>
      <c r="P235" s="226"/>
      <c r="Z235" s="226"/>
      <c r="AA235" s="226"/>
      <c r="AK235" s="226"/>
      <c r="AL235" s="226"/>
      <c r="AV235" s="226"/>
      <c r="AW235" s="226"/>
      <c r="BG235" s="226"/>
      <c r="BH235" s="226"/>
      <c r="BR235" s="226"/>
      <c r="BS235" s="226"/>
    </row>
    <row r="236" ht="12.5" spans="15:71">
      <c r="O236" s="226"/>
      <c r="P236" s="226"/>
      <c r="Z236" s="226"/>
      <c r="AA236" s="226"/>
      <c r="AK236" s="226"/>
      <c r="AL236" s="226"/>
      <c r="AV236" s="226"/>
      <c r="AW236" s="226"/>
      <c r="BG236" s="226"/>
      <c r="BH236" s="226"/>
      <c r="BR236" s="226"/>
      <c r="BS236" s="226"/>
    </row>
    <row r="237" ht="12.5" spans="15:71">
      <c r="O237" s="226"/>
      <c r="P237" s="226"/>
      <c r="Z237" s="226"/>
      <c r="AA237" s="226"/>
      <c r="AK237" s="226"/>
      <c r="AL237" s="226"/>
      <c r="AV237" s="226"/>
      <c r="AW237" s="226"/>
      <c r="BG237" s="226"/>
      <c r="BH237" s="226"/>
      <c r="BR237" s="226"/>
      <c r="BS237" s="226"/>
    </row>
    <row r="238" ht="12.5" spans="15:71">
      <c r="O238" s="226"/>
      <c r="P238" s="226"/>
      <c r="Z238" s="226"/>
      <c r="AA238" s="226"/>
      <c r="AK238" s="226"/>
      <c r="AL238" s="226"/>
      <c r="AV238" s="226"/>
      <c r="AW238" s="226"/>
      <c r="BG238" s="226"/>
      <c r="BH238" s="226"/>
      <c r="BR238" s="226"/>
      <c r="BS238" s="226"/>
    </row>
    <row r="239" ht="12.5" spans="15:71">
      <c r="O239" s="226"/>
      <c r="P239" s="226"/>
      <c r="Z239" s="226"/>
      <c r="AA239" s="226"/>
      <c r="AK239" s="226"/>
      <c r="AL239" s="226"/>
      <c r="AV239" s="226"/>
      <c r="AW239" s="226"/>
      <c r="BG239" s="226"/>
      <c r="BH239" s="226"/>
      <c r="BR239" s="226"/>
      <c r="BS239" s="226"/>
    </row>
    <row r="240" ht="12.5" spans="15:71">
      <c r="O240" s="226"/>
      <c r="P240" s="226"/>
      <c r="Z240" s="226"/>
      <c r="AA240" s="226"/>
      <c r="AK240" s="226"/>
      <c r="AL240" s="226"/>
      <c r="AV240" s="226"/>
      <c r="AW240" s="226"/>
      <c r="BG240" s="226"/>
      <c r="BH240" s="226"/>
      <c r="BR240" s="226"/>
      <c r="BS240" s="226"/>
    </row>
    <row r="241" ht="12.5" spans="15:71">
      <c r="O241" s="226"/>
      <c r="P241" s="226"/>
      <c r="Z241" s="226"/>
      <c r="AA241" s="226"/>
      <c r="AK241" s="226"/>
      <c r="AL241" s="226"/>
      <c r="AV241" s="226"/>
      <c r="AW241" s="226"/>
      <c r="BG241" s="226"/>
      <c r="BH241" s="226"/>
      <c r="BR241" s="226"/>
      <c r="BS241" s="226"/>
    </row>
    <row r="242" ht="12.5" spans="15:71">
      <c r="O242" s="226"/>
      <c r="P242" s="226"/>
      <c r="Z242" s="226"/>
      <c r="AA242" s="226"/>
      <c r="AK242" s="226"/>
      <c r="AL242" s="226"/>
      <c r="AV242" s="226"/>
      <c r="AW242" s="226"/>
      <c r="BG242" s="226"/>
      <c r="BH242" s="226"/>
      <c r="BR242" s="226"/>
      <c r="BS242" s="226"/>
    </row>
    <row r="243" ht="12.5" spans="15:71">
      <c r="O243" s="226"/>
      <c r="P243" s="226"/>
      <c r="Z243" s="226"/>
      <c r="AA243" s="226"/>
      <c r="AK243" s="226"/>
      <c r="AL243" s="226"/>
      <c r="AV243" s="226"/>
      <c r="AW243" s="226"/>
      <c r="BG243" s="226"/>
      <c r="BH243" s="226"/>
      <c r="BR243" s="226"/>
      <c r="BS243" s="226"/>
    </row>
    <row r="244" ht="12.5" spans="15:71">
      <c r="O244" s="226"/>
      <c r="P244" s="226"/>
      <c r="Z244" s="226"/>
      <c r="AA244" s="226"/>
      <c r="AK244" s="226"/>
      <c r="AL244" s="226"/>
      <c r="AV244" s="226"/>
      <c r="AW244" s="226"/>
      <c r="BG244" s="226"/>
      <c r="BH244" s="226"/>
      <c r="BR244" s="226"/>
      <c r="BS244" s="226"/>
    </row>
    <row r="245" ht="12.5" spans="15:71">
      <c r="O245" s="226"/>
      <c r="P245" s="226"/>
      <c r="Z245" s="226"/>
      <c r="AA245" s="226"/>
      <c r="AK245" s="226"/>
      <c r="AL245" s="226"/>
      <c r="AV245" s="226"/>
      <c r="AW245" s="226"/>
      <c r="BG245" s="226"/>
      <c r="BH245" s="226"/>
      <c r="BR245" s="226"/>
      <c r="BS245" s="226"/>
    </row>
    <row r="246" ht="12.5" spans="15:71">
      <c r="O246" s="226"/>
      <c r="P246" s="226"/>
      <c r="Z246" s="226"/>
      <c r="AA246" s="226"/>
      <c r="AK246" s="226"/>
      <c r="AL246" s="226"/>
      <c r="AV246" s="226"/>
      <c r="AW246" s="226"/>
      <c r="BG246" s="226"/>
      <c r="BH246" s="226"/>
      <c r="BR246" s="226"/>
      <c r="BS246" s="226"/>
    </row>
    <row r="247" ht="12.5" spans="15:71">
      <c r="O247" s="226"/>
      <c r="P247" s="226"/>
      <c r="Z247" s="226"/>
      <c r="AA247" s="226"/>
      <c r="AK247" s="226"/>
      <c r="AL247" s="226"/>
      <c r="AV247" s="226"/>
      <c r="AW247" s="226"/>
      <c r="BG247" s="226"/>
      <c r="BH247" s="226"/>
      <c r="BR247" s="226"/>
      <c r="BS247" s="226"/>
    </row>
    <row r="248" ht="12.5" spans="15:71">
      <c r="O248" s="226"/>
      <c r="P248" s="226"/>
      <c r="Z248" s="226"/>
      <c r="AA248" s="226"/>
      <c r="AK248" s="226"/>
      <c r="AL248" s="226"/>
      <c r="AV248" s="226"/>
      <c r="AW248" s="226"/>
      <c r="BG248" s="226"/>
      <c r="BH248" s="226"/>
      <c r="BR248" s="226"/>
      <c r="BS248" s="226"/>
    </row>
    <row r="249" ht="12.5" spans="15:71">
      <c r="O249" s="226"/>
      <c r="P249" s="226"/>
      <c r="Z249" s="226"/>
      <c r="AA249" s="226"/>
      <c r="AK249" s="226"/>
      <c r="AL249" s="226"/>
      <c r="AV249" s="226"/>
      <c r="AW249" s="226"/>
      <c r="BG249" s="226"/>
      <c r="BH249" s="226"/>
      <c r="BR249" s="226"/>
      <c r="BS249" s="226"/>
    </row>
    <row r="250" ht="12.5" spans="15:71">
      <c r="O250" s="226"/>
      <c r="P250" s="226"/>
      <c r="Z250" s="226"/>
      <c r="AA250" s="226"/>
      <c r="AK250" s="226"/>
      <c r="AL250" s="226"/>
      <c r="AV250" s="226"/>
      <c r="AW250" s="226"/>
      <c r="BG250" s="226"/>
      <c r="BH250" s="226"/>
      <c r="BR250" s="226"/>
      <c r="BS250" s="226"/>
    </row>
    <row r="251" ht="12.5" spans="15:71">
      <c r="O251" s="226"/>
      <c r="P251" s="226"/>
      <c r="Z251" s="226"/>
      <c r="AA251" s="226"/>
      <c r="AK251" s="226"/>
      <c r="AL251" s="226"/>
      <c r="AV251" s="226"/>
      <c r="AW251" s="226"/>
      <c r="BG251" s="226"/>
      <c r="BH251" s="226"/>
      <c r="BR251" s="226"/>
      <c r="BS251" s="226"/>
    </row>
    <row r="252" ht="12.5" spans="15:71">
      <c r="O252" s="226"/>
      <c r="P252" s="226"/>
      <c r="Z252" s="226"/>
      <c r="AA252" s="226"/>
      <c r="AK252" s="226"/>
      <c r="AL252" s="226"/>
      <c r="AV252" s="226"/>
      <c r="AW252" s="226"/>
      <c r="BG252" s="226"/>
      <c r="BH252" s="226"/>
      <c r="BR252" s="226"/>
      <c r="BS252" s="226"/>
    </row>
    <row r="253" ht="12.5" spans="15:71">
      <c r="O253" s="226"/>
      <c r="P253" s="226"/>
      <c r="Z253" s="226"/>
      <c r="AA253" s="226"/>
      <c r="AK253" s="226"/>
      <c r="AL253" s="226"/>
      <c r="AV253" s="226"/>
      <c r="AW253" s="226"/>
      <c r="BG253" s="226"/>
      <c r="BH253" s="226"/>
      <c r="BR253" s="226"/>
      <c r="BS253" s="226"/>
    </row>
    <row r="254" ht="12.5" spans="15:71">
      <c r="O254" s="226"/>
      <c r="P254" s="226"/>
      <c r="Z254" s="226"/>
      <c r="AA254" s="226"/>
      <c r="AK254" s="226"/>
      <c r="AL254" s="226"/>
      <c r="AV254" s="226"/>
      <c r="AW254" s="226"/>
      <c r="BG254" s="226"/>
      <c r="BH254" s="226"/>
      <c r="BR254" s="226"/>
      <c r="BS254" s="226"/>
    </row>
    <row r="255" ht="12.5" spans="15:71">
      <c r="O255" s="226"/>
      <c r="P255" s="226"/>
      <c r="Z255" s="226"/>
      <c r="AA255" s="226"/>
      <c r="AK255" s="226"/>
      <c r="AL255" s="226"/>
      <c r="AV255" s="226"/>
      <c r="AW255" s="226"/>
      <c r="BG255" s="226"/>
      <c r="BH255" s="226"/>
      <c r="BR255" s="226"/>
      <c r="BS255" s="226"/>
    </row>
    <row r="256" ht="12.5" spans="15:71">
      <c r="O256" s="226"/>
      <c r="P256" s="226"/>
      <c r="Z256" s="226"/>
      <c r="AA256" s="226"/>
      <c r="AK256" s="226"/>
      <c r="AL256" s="226"/>
      <c r="AV256" s="226"/>
      <c r="AW256" s="226"/>
      <c r="BG256" s="226"/>
      <c r="BH256" s="226"/>
      <c r="BR256" s="226"/>
      <c r="BS256" s="226"/>
    </row>
    <row r="257" ht="12.5" spans="15:71">
      <c r="O257" s="226"/>
      <c r="P257" s="226"/>
      <c r="Z257" s="226"/>
      <c r="AA257" s="226"/>
      <c r="AK257" s="226"/>
      <c r="AL257" s="226"/>
      <c r="AV257" s="226"/>
      <c r="AW257" s="226"/>
      <c r="BG257" s="226"/>
      <c r="BH257" s="226"/>
      <c r="BR257" s="226"/>
      <c r="BS257" s="226"/>
    </row>
    <row r="258" ht="12.5" spans="15:71">
      <c r="O258" s="226"/>
      <c r="P258" s="226"/>
      <c r="Z258" s="226"/>
      <c r="AA258" s="226"/>
      <c r="AK258" s="226"/>
      <c r="AL258" s="226"/>
      <c r="AV258" s="226"/>
      <c r="AW258" s="226"/>
      <c r="BG258" s="226"/>
      <c r="BH258" s="226"/>
      <c r="BR258" s="226"/>
      <c r="BS258" s="226"/>
    </row>
    <row r="259" ht="12.5" spans="15:71">
      <c r="O259" s="226"/>
      <c r="P259" s="226"/>
      <c r="Z259" s="226"/>
      <c r="AA259" s="226"/>
      <c r="AK259" s="226"/>
      <c r="AL259" s="226"/>
      <c r="AV259" s="226"/>
      <c r="AW259" s="226"/>
      <c r="BG259" s="226"/>
      <c r="BH259" s="226"/>
      <c r="BR259" s="226"/>
      <c r="BS259" s="226"/>
    </row>
    <row r="260" ht="12.5" spans="15:71">
      <c r="O260" s="226"/>
      <c r="P260" s="226"/>
      <c r="Z260" s="226"/>
      <c r="AA260" s="226"/>
      <c r="AK260" s="226"/>
      <c r="AL260" s="226"/>
      <c r="AV260" s="226"/>
      <c r="AW260" s="226"/>
      <c r="BG260" s="226"/>
      <c r="BH260" s="226"/>
      <c r="BR260" s="226"/>
      <c r="BS260" s="226"/>
    </row>
    <row r="261" ht="12.5" spans="15:71">
      <c r="O261" s="226"/>
      <c r="P261" s="226"/>
      <c r="Z261" s="226"/>
      <c r="AA261" s="226"/>
      <c r="AK261" s="226"/>
      <c r="AL261" s="226"/>
      <c r="AV261" s="226"/>
      <c r="AW261" s="226"/>
      <c r="BG261" s="226"/>
      <c r="BH261" s="226"/>
      <c r="BR261" s="226"/>
      <c r="BS261" s="226"/>
    </row>
    <row r="262" ht="12.5" spans="15:71">
      <c r="O262" s="226"/>
      <c r="P262" s="226"/>
      <c r="Z262" s="226"/>
      <c r="AA262" s="226"/>
      <c r="AK262" s="226"/>
      <c r="AL262" s="226"/>
      <c r="AV262" s="226"/>
      <c r="AW262" s="226"/>
      <c r="BG262" s="226"/>
      <c r="BH262" s="226"/>
      <c r="BR262" s="226"/>
      <c r="BS262" s="226"/>
    </row>
    <row r="263" ht="12.5" spans="15:71">
      <c r="O263" s="226"/>
      <c r="P263" s="226"/>
      <c r="Z263" s="226"/>
      <c r="AA263" s="226"/>
      <c r="AK263" s="226"/>
      <c r="AL263" s="226"/>
      <c r="AV263" s="226"/>
      <c r="AW263" s="226"/>
      <c r="BG263" s="226"/>
      <c r="BH263" s="226"/>
      <c r="BR263" s="226"/>
      <c r="BS263" s="226"/>
    </row>
    <row r="264" ht="12.5" spans="15:71">
      <c r="O264" s="226"/>
      <c r="P264" s="226"/>
      <c r="Z264" s="226"/>
      <c r="AA264" s="226"/>
      <c r="AK264" s="226"/>
      <c r="AL264" s="226"/>
      <c r="AV264" s="226"/>
      <c r="AW264" s="226"/>
      <c r="BG264" s="226"/>
      <c r="BH264" s="226"/>
      <c r="BR264" s="226"/>
      <c r="BS264" s="226"/>
    </row>
    <row r="265" ht="12.5" spans="15:71">
      <c r="O265" s="226"/>
      <c r="P265" s="226"/>
      <c r="Z265" s="226"/>
      <c r="AA265" s="226"/>
      <c r="AK265" s="226"/>
      <c r="AL265" s="226"/>
      <c r="AV265" s="226"/>
      <c r="AW265" s="226"/>
      <c r="BG265" s="226"/>
      <c r="BH265" s="226"/>
      <c r="BR265" s="226"/>
      <c r="BS265" s="226"/>
    </row>
    <row r="266" ht="12.5" spans="15:71">
      <c r="O266" s="226"/>
      <c r="P266" s="226"/>
      <c r="Z266" s="226"/>
      <c r="AA266" s="226"/>
      <c r="AK266" s="226"/>
      <c r="AL266" s="226"/>
      <c r="AV266" s="226"/>
      <c r="AW266" s="226"/>
      <c r="BG266" s="226"/>
      <c r="BH266" s="226"/>
      <c r="BR266" s="226"/>
      <c r="BS266" s="226"/>
    </row>
    <row r="267" ht="12.5" spans="15:71">
      <c r="O267" s="226"/>
      <c r="P267" s="226"/>
      <c r="Z267" s="226"/>
      <c r="AA267" s="226"/>
      <c r="AK267" s="226"/>
      <c r="AL267" s="226"/>
      <c r="AV267" s="226"/>
      <c r="AW267" s="226"/>
      <c r="BG267" s="226"/>
      <c r="BH267" s="226"/>
      <c r="BR267" s="226"/>
      <c r="BS267" s="226"/>
    </row>
    <row r="268" ht="12.5" spans="15:71">
      <c r="O268" s="226"/>
      <c r="P268" s="226"/>
      <c r="Z268" s="226"/>
      <c r="AA268" s="226"/>
      <c r="AK268" s="226"/>
      <c r="AL268" s="226"/>
      <c r="AV268" s="226"/>
      <c r="AW268" s="226"/>
      <c r="BG268" s="226"/>
      <c r="BH268" s="226"/>
      <c r="BR268" s="226"/>
      <c r="BS268" s="226"/>
    </row>
    <row r="269" ht="12.5" spans="15:71">
      <c r="O269" s="226"/>
      <c r="P269" s="226"/>
      <c r="Z269" s="226"/>
      <c r="AA269" s="226"/>
      <c r="AK269" s="226"/>
      <c r="AL269" s="226"/>
      <c r="AV269" s="226"/>
      <c r="AW269" s="226"/>
      <c r="BG269" s="226"/>
      <c r="BH269" s="226"/>
      <c r="BR269" s="226"/>
      <c r="BS269" s="226"/>
    </row>
    <row r="270" ht="12.5" spans="15:71">
      <c r="O270" s="226"/>
      <c r="P270" s="226"/>
      <c r="Z270" s="226"/>
      <c r="AA270" s="226"/>
      <c r="AK270" s="226"/>
      <c r="AL270" s="226"/>
      <c r="AV270" s="226"/>
      <c r="AW270" s="226"/>
      <c r="BG270" s="226"/>
      <c r="BH270" s="226"/>
      <c r="BR270" s="226"/>
      <c r="BS270" s="226"/>
    </row>
    <row r="271" ht="12.5" spans="15:71">
      <c r="O271" s="226"/>
      <c r="P271" s="226"/>
      <c r="Z271" s="226"/>
      <c r="AA271" s="226"/>
      <c r="AK271" s="226"/>
      <c r="AL271" s="226"/>
      <c r="AV271" s="226"/>
      <c r="AW271" s="226"/>
      <c r="BG271" s="226"/>
      <c r="BH271" s="226"/>
      <c r="BR271" s="226"/>
      <c r="BS271" s="226"/>
    </row>
    <row r="272" ht="12.5" spans="15:71">
      <c r="O272" s="226"/>
      <c r="P272" s="226"/>
      <c r="Z272" s="226"/>
      <c r="AA272" s="226"/>
      <c r="AK272" s="226"/>
      <c r="AL272" s="226"/>
      <c r="AV272" s="226"/>
      <c r="AW272" s="226"/>
      <c r="BG272" s="226"/>
      <c r="BH272" s="226"/>
      <c r="BR272" s="226"/>
      <c r="BS272" s="226"/>
    </row>
    <row r="273" ht="12.5" spans="15:71">
      <c r="O273" s="226"/>
      <c r="P273" s="226"/>
      <c r="Z273" s="226"/>
      <c r="AA273" s="226"/>
      <c r="AK273" s="226"/>
      <c r="AL273" s="226"/>
      <c r="AV273" s="226"/>
      <c r="AW273" s="226"/>
      <c r="BG273" s="226"/>
      <c r="BH273" s="226"/>
      <c r="BR273" s="226"/>
      <c r="BS273" s="226"/>
    </row>
    <row r="274" ht="12.5" spans="15:71">
      <c r="O274" s="226"/>
      <c r="P274" s="226"/>
      <c r="Z274" s="226"/>
      <c r="AA274" s="226"/>
      <c r="AK274" s="226"/>
      <c r="AL274" s="226"/>
      <c r="AV274" s="226"/>
      <c r="AW274" s="226"/>
      <c r="BG274" s="226"/>
      <c r="BH274" s="226"/>
      <c r="BR274" s="226"/>
      <c r="BS274" s="226"/>
    </row>
    <row r="275" ht="12.5" spans="15:71">
      <c r="O275" s="226"/>
      <c r="P275" s="226"/>
      <c r="Z275" s="226"/>
      <c r="AA275" s="226"/>
      <c r="AK275" s="226"/>
      <c r="AL275" s="226"/>
      <c r="AV275" s="226"/>
      <c r="AW275" s="226"/>
      <c r="BG275" s="226"/>
      <c r="BH275" s="226"/>
      <c r="BR275" s="226"/>
      <c r="BS275" s="226"/>
    </row>
    <row r="276" ht="12.5" spans="15:71">
      <c r="O276" s="226"/>
      <c r="P276" s="226"/>
      <c r="Z276" s="226"/>
      <c r="AA276" s="226"/>
      <c r="AK276" s="226"/>
      <c r="AL276" s="226"/>
      <c r="AV276" s="226"/>
      <c r="AW276" s="226"/>
      <c r="BG276" s="226"/>
      <c r="BH276" s="226"/>
      <c r="BR276" s="226"/>
      <c r="BS276" s="226"/>
    </row>
    <row r="277" ht="12.5" spans="15:71">
      <c r="O277" s="226"/>
      <c r="P277" s="226"/>
      <c r="Z277" s="226"/>
      <c r="AA277" s="226"/>
      <c r="AK277" s="226"/>
      <c r="AL277" s="226"/>
      <c r="AV277" s="226"/>
      <c r="AW277" s="226"/>
      <c r="BG277" s="226"/>
      <c r="BH277" s="226"/>
      <c r="BR277" s="226"/>
      <c r="BS277" s="226"/>
    </row>
    <row r="278" ht="12.5" spans="15:71">
      <c r="O278" s="226"/>
      <c r="P278" s="226"/>
      <c r="Z278" s="226"/>
      <c r="AA278" s="226"/>
      <c r="AK278" s="226"/>
      <c r="AL278" s="226"/>
      <c r="AV278" s="226"/>
      <c r="AW278" s="226"/>
      <c r="BG278" s="226"/>
      <c r="BH278" s="226"/>
      <c r="BR278" s="226"/>
      <c r="BS278" s="226"/>
    </row>
    <row r="279" ht="12.5" spans="15:71">
      <c r="O279" s="226"/>
      <c r="P279" s="226"/>
      <c r="Z279" s="226"/>
      <c r="AA279" s="226"/>
      <c r="AK279" s="226"/>
      <c r="AL279" s="226"/>
      <c r="AV279" s="226"/>
      <c r="AW279" s="226"/>
      <c r="BG279" s="226"/>
      <c r="BH279" s="226"/>
      <c r="BR279" s="226"/>
      <c r="BS279" s="226"/>
    </row>
    <row r="280" ht="12.5" spans="15:71">
      <c r="O280" s="226"/>
      <c r="P280" s="226"/>
      <c r="Z280" s="226"/>
      <c r="AA280" s="226"/>
      <c r="AK280" s="226"/>
      <c r="AL280" s="226"/>
      <c r="AV280" s="226"/>
      <c r="AW280" s="226"/>
      <c r="BG280" s="226"/>
      <c r="BH280" s="226"/>
      <c r="BR280" s="226"/>
      <c r="BS280" s="226"/>
    </row>
    <row r="281" ht="12.5" spans="15:71">
      <c r="O281" s="226"/>
      <c r="P281" s="226"/>
      <c r="Z281" s="226"/>
      <c r="AA281" s="226"/>
      <c r="AK281" s="226"/>
      <c r="AL281" s="226"/>
      <c r="AV281" s="226"/>
      <c r="AW281" s="226"/>
      <c r="BG281" s="226"/>
      <c r="BH281" s="226"/>
      <c r="BR281" s="226"/>
      <c r="BS281" s="226"/>
    </row>
    <row r="282" ht="12.5" spans="15:71">
      <c r="O282" s="226"/>
      <c r="P282" s="226"/>
      <c r="Z282" s="226"/>
      <c r="AA282" s="226"/>
      <c r="AK282" s="226"/>
      <c r="AL282" s="226"/>
      <c r="AV282" s="226"/>
      <c r="AW282" s="226"/>
      <c r="BG282" s="226"/>
      <c r="BH282" s="226"/>
      <c r="BR282" s="226"/>
      <c r="BS282" s="226"/>
    </row>
    <row r="283" ht="12.5" spans="15:71">
      <c r="O283" s="226"/>
      <c r="P283" s="226"/>
      <c r="Z283" s="226"/>
      <c r="AA283" s="226"/>
      <c r="AK283" s="226"/>
      <c r="AL283" s="226"/>
      <c r="AV283" s="226"/>
      <c r="AW283" s="226"/>
      <c r="BG283" s="226"/>
      <c r="BH283" s="226"/>
      <c r="BR283" s="226"/>
      <c r="BS283" s="226"/>
    </row>
    <row r="284" ht="12.5" spans="15:71">
      <c r="O284" s="226"/>
      <c r="P284" s="226"/>
      <c r="Z284" s="226"/>
      <c r="AA284" s="226"/>
      <c r="AK284" s="226"/>
      <c r="AL284" s="226"/>
      <c r="AV284" s="226"/>
      <c r="AW284" s="226"/>
      <c r="BG284" s="226"/>
      <c r="BH284" s="226"/>
      <c r="BR284" s="226"/>
      <c r="BS284" s="226"/>
    </row>
    <row r="285" ht="12.5" spans="15:71">
      <c r="O285" s="226"/>
      <c r="P285" s="226"/>
      <c r="Z285" s="226"/>
      <c r="AA285" s="226"/>
      <c r="AK285" s="226"/>
      <c r="AL285" s="226"/>
      <c r="AV285" s="226"/>
      <c r="AW285" s="226"/>
      <c r="BG285" s="226"/>
      <c r="BH285" s="226"/>
      <c r="BR285" s="226"/>
      <c r="BS285" s="226"/>
    </row>
    <row r="286" ht="12.5" spans="15:71">
      <c r="O286" s="226"/>
      <c r="P286" s="226"/>
      <c r="Z286" s="226"/>
      <c r="AA286" s="226"/>
      <c r="AK286" s="226"/>
      <c r="AL286" s="226"/>
      <c r="AV286" s="226"/>
      <c r="AW286" s="226"/>
      <c r="BG286" s="226"/>
      <c r="BH286" s="226"/>
      <c r="BR286" s="226"/>
      <c r="BS286" s="226"/>
    </row>
    <row r="287" ht="12.5" spans="15:71">
      <c r="O287" s="226"/>
      <c r="P287" s="226"/>
      <c r="Z287" s="226"/>
      <c r="AA287" s="226"/>
      <c r="AK287" s="226"/>
      <c r="AL287" s="226"/>
      <c r="AV287" s="226"/>
      <c r="AW287" s="226"/>
      <c r="BG287" s="226"/>
      <c r="BH287" s="226"/>
      <c r="BR287" s="226"/>
      <c r="BS287" s="226"/>
    </row>
    <row r="288" ht="12.5" spans="15:71">
      <c r="O288" s="226"/>
      <c r="P288" s="226"/>
      <c r="Z288" s="226"/>
      <c r="AA288" s="226"/>
      <c r="AK288" s="226"/>
      <c r="AL288" s="226"/>
      <c r="AV288" s="226"/>
      <c r="AW288" s="226"/>
      <c r="BG288" s="226"/>
      <c r="BH288" s="226"/>
      <c r="BR288" s="226"/>
      <c r="BS288" s="226"/>
    </row>
    <row r="289" ht="12.5" spans="15:71">
      <c r="O289" s="226"/>
      <c r="P289" s="226"/>
      <c r="Z289" s="226"/>
      <c r="AA289" s="226"/>
      <c r="AK289" s="226"/>
      <c r="AL289" s="226"/>
      <c r="AV289" s="226"/>
      <c r="AW289" s="226"/>
      <c r="BG289" s="226"/>
      <c r="BH289" s="226"/>
      <c r="BR289" s="226"/>
      <c r="BS289" s="226"/>
    </row>
    <row r="290" ht="12.5" spans="15:71">
      <c r="O290" s="226"/>
      <c r="P290" s="226"/>
      <c r="Z290" s="226"/>
      <c r="AA290" s="226"/>
      <c r="AK290" s="226"/>
      <c r="AL290" s="226"/>
      <c r="AV290" s="226"/>
      <c r="AW290" s="226"/>
      <c r="BG290" s="226"/>
      <c r="BH290" s="226"/>
      <c r="BR290" s="226"/>
      <c r="BS290" s="226"/>
    </row>
    <row r="291" ht="12.5" spans="15:71">
      <c r="O291" s="226"/>
      <c r="P291" s="226"/>
      <c r="Z291" s="226"/>
      <c r="AA291" s="226"/>
      <c r="AK291" s="226"/>
      <c r="AL291" s="226"/>
      <c r="AV291" s="226"/>
      <c r="AW291" s="226"/>
      <c r="BG291" s="226"/>
      <c r="BH291" s="226"/>
      <c r="BR291" s="226"/>
      <c r="BS291" s="226"/>
    </row>
    <row r="292" ht="12.5" spans="15:71">
      <c r="O292" s="226"/>
      <c r="P292" s="226"/>
      <c r="Z292" s="226"/>
      <c r="AA292" s="226"/>
      <c r="AK292" s="226"/>
      <c r="AL292" s="226"/>
      <c r="AV292" s="226"/>
      <c r="AW292" s="226"/>
      <c r="BG292" s="226"/>
      <c r="BH292" s="226"/>
      <c r="BR292" s="226"/>
      <c r="BS292" s="226"/>
    </row>
    <row r="293" ht="12.5" spans="15:71">
      <c r="O293" s="226"/>
      <c r="P293" s="226"/>
      <c r="Z293" s="226"/>
      <c r="AA293" s="226"/>
      <c r="AK293" s="226"/>
      <c r="AL293" s="226"/>
      <c r="AV293" s="226"/>
      <c r="AW293" s="226"/>
      <c r="BG293" s="226"/>
      <c r="BH293" s="226"/>
      <c r="BR293" s="226"/>
      <c r="BS293" s="226"/>
    </row>
    <row r="294" ht="12.5" spans="15:71">
      <c r="O294" s="226"/>
      <c r="P294" s="226"/>
      <c r="Z294" s="226"/>
      <c r="AA294" s="226"/>
      <c r="AK294" s="226"/>
      <c r="AL294" s="226"/>
      <c r="AV294" s="226"/>
      <c r="AW294" s="226"/>
      <c r="BG294" s="226"/>
      <c r="BH294" s="226"/>
      <c r="BR294" s="226"/>
      <c r="BS294" s="226"/>
    </row>
    <row r="295" ht="12.5" spans="15:71">
      <c r="O295" s="226"/>
      <c r="P295" s="226"/>
      <c r="Z295" s="226"/>
      <c r="AA295" s="226"/>
      <c r="AK295" s="226"/>
      <c r="AL295" s="226"/>
      <c r="AV295" s="226"/>
      <c r="AW295" s="226"/>
      <c r="BG295" s="226"/>
      <c r="BH295" s="226"/>
      <c r="BR295" s="226"/>
      <c r="BS295" s="226"/>
    </row>
    <row r="296" ht="12.5" spans="15:71">
      <c r="O296" s="226"/>
      <c r="P296" s="226"/>
      <c r="Z296" s="226"/>
      <c r="AA296" s="226"/>
      <c r="AK296" s="226"/>
      <c r="AL296" s="226"/>
      <c r="AV296" s="226"/>
      <c r="AW296" s="226"/>
      <c r="BG296" s="226"/>
      <c r="BH296" s="226"/>
      <c r="BR296" s="226"/>
      <c r="BS296" s="226"/>
    </row>
    <row r="297" ht="12.5" spans="15:71">
      <c r="O297" s="226"/>
      <c r="P297" s="226"/>
      <c r="Z297" s="226"/>
      <c r="AA297" s="226"/>
      <c r="AK297" s="226"/>
      <c r="AL297" s="226"/>
      <c r="AV297" s="226"/>
      <c r="AW297" s="226"/>
      <c r="BG297" s="226"/>
      <c r="BH297" s="226"/>
      <c r="BR297" s="226"/>
      <c r="BS297" s="226"/>
    </row>
    <row r="298" ht="12.5" spans="15:71">
      <c r="O298" s="226"/>
      <c r="P298" s="226"/>
      <c r="Z298" s="226"/>
      <c r="AA298" s="226"/>
      <c r="AK298" s="226"/>
      <c r="AL298" s="226"/>
      <c r="AV298" s="226"/>
      <c r="AW298" s="226"/>
      <c r="BG298" s="226"/>
      <c r="BH298" s="226"/>
      <c r="BR298" s="226"/>
      <c r="BS298" s="226"/>
    </row>
    <row r="299" ht="12.5" spans="15:71">
      <c r="O299" s="226"/>
      <c r="P299" s="226"/>
      <c r="Z299" s="226"/>
      <c r="AA299" s="226"/>
      <c r="AK299" s="226"/>
      <c r="AL299" s="226"/>
      <c r="AV299" s="226"/>
      <c r="AW299" s="226"/>
      <c r="BG299" s="226"/>
      <c r="BH299" s="226"/>
      <c r="BR299" s="226"/>
      <c r="BS299" s="226"/>
    </row>
    <row r="300" ht="12.5" spans="15:71">
      <c r="O300" s="226"/>
      <c r="P300" s="226"/>
      <c r="Z300" s="226"/>
      <c r="AA300" s="226"/>
      <c r="AK300" s="226"/>
      <c r="AL300" s="226"/>
      <c r="AV300" s="226"/>
      <c r="AW300" s="226"/>
      <c r="BG300" s="226"/>
      <c r="BH300" s="226"/>
      <c r="BR300" s="226"/>
      <c r="BS300" s="226"/>
    </row>
    <row r="301" ht="12.5" spans="15:71">
      <c r="O301" s="226"/>
      <c r="P301" s="226"/>
      <c r="Z301" s="226"/>
      <c r="AA301" s="226"/>
      <c r="AK301" s="226"/>
      <c r="AL301" s="226"/>
      <c r="AV301" s="226"/>
      <c r="AW301" s="226"/>
      <c r="BG301" s="226"/>
      <c r="BH301" s="226"/>
      <c r="BR301" s="226"/>
      <c r="BS301" s="226"/>
    </row>
    <row r="302" ht="12.5" spans="15:71">
      <c r="O302" s="226"/>
      <c r="P302" s="226"/>
      <c r="Z302" s="226"/>
      <c r="AA302" s="226"/>
      <c r="AK302" s="226"/>
      <c r="AL302" s="226"/>
      <c r="AV302" s="226"/>
      <c r="AW302" s="226"/>
      <c r="BG302" s="226"/>
      <c r="BH302" s="226"/>
      <c r="BR302" s="226"/>
      <c r="BS302" s="226"/>
    </row>
    <row r="303" ht="12.5" spans="15:71">
      <c r="O303" s="226"/>
      <c r="P303" s="226"/>
      <c r="Z303" s="226"/>
      <c r="AA303" s="226"/>
      <c r="AK303" s="226"/>
      <c r="AL303" s="226"/>
      <c r="AV303" s="226"/>
      <c r="AW303" s="226"/>
      <c r="BG303" s="226"/>
      <c r="BH303" s="226"/>
      <c r="BR303" s="226"/>
      <c r="BS303" s="226"/>
    </row>
    <row r="304" ht="12.5" spans="15:71">
      <c r="O304" s="226"/>
      <c r="P304" s="226"/>
      <c r="Z304" s="226"/>
      <c r="AA304" s="226"/>
      <c r="AK304" s="226"/>
      <c r="AL304" s="226"/>
      <c r="AV304" s="226"/>
      <c r="AW304" s="226"/>
      <c r="BG304" s="226"/>
      <c r="BH304" s="226"/>
      <c r="BR304" s="226"/>
      <c r="BS304" s="226"/>
    </row>
    <row r="305" ht="12.5" spans="15:71">
      <c r="O305" s="226"/>
      <c r="P305" s="226"/>
      <c r="Z305" s="226"/>
      <c r="AA305" s="226"/>
      <c r="AK305" s="226"/>
      <c r="AL305" s="226"/>
      <c r="AV305" s="226"/>
      <c r="AW305" s="226"/>
      <c r="BG305" s="226"/>
      <c r="BH305" s="226"/>
      <c r="BR305" s="226"/>
      <c r="BS305" s="226"/>
    </row>
    <row r="306" ht="12.5" spans="15:71">
      <c r="O306" s="226"/>
      <c r="P306" s="226"/>
      <c r="Z306" s="226"/>
      <c r="AA306" s="226"/>
      <c r="AK306" s="226"/>
      <c r="AL306" s="226"/>
      <c r="AV306" s="226"/>
      <c r="AW306" s="226"/>
      <c r="BG306" s="226"/>
      <c r="BH306" s="226"/>
      <c r="BR306" s="226"/>
      <c r="BS306" s="226"/>
    </row>
    <row r="307" ht="12.5" spans="15:71">
      <c r="O307" s="226"/>
      <c r="P307" s="226"/>
      <c r="Z307" s="226"/>
      <c r="AA307" s="226"/>
      <c r="AK307" s="226"/>
      <c r="AL307" s="226"/>
      <c r="AV307" s="226"/>
      <c r="AW307" s="226"/>
      <c r="BG307" s="226"/>
      <c r="BH307" s="226"/>
      <c r="BR307" s="226"/>
      <c r="BS307" s="226"/>
    </row>
    <row r="308" ht="12.5" spans="15:71">
      <c r="O308" s="226"/>
      <c r="P308" s="226"/>
      <c r="Z308" s="226"/>
      <c r="AA308" s="226"/>
      <c r="AK308" s="226"/>
      <c r="AL308" s="226"/>
      <c r="AV308" s="226"/>
      <c r="AW308" s="226"/>
      <c r="BG308" s="226"/>
      <c r="BH308" s="226"/>
      <c r="BR308" s="226"/>
      <c r="BS308" s="226"/>
    </row>
    <row r="309" ht="12.5" spans="15:71">
      <c r="O309" s="226"/>
      <c r="P309" s="226"/>
      <c r="Z309" s="226"/>
      <c r="AA309" s="226"/>
      <c r="AK309" s="226"/>
      <c r="AL309" s="226"/>
      <c r="AV309" s="226"/>
      <c r="AW309" s="226"/>
      <c r="BG309" s="226"/>
      <c r="BH309" s="226"/>
      <c r="BR309" s="226"/>
      <c r="BS309" s="226"/>
    </row>
    <row r="310" ht="12.5" spans="15:71">
      <c r="O310" s="226"/>
      <c r="P310" s="226"/>
      <c r="Z310" s="226"/>
      <c r="AA310" s="226"/>
      <c r="AK310" s="226"/>
      <c r="AL310" s="226"/>
      <c r="AV310" s="226"/>
      <c r="AW310" s="226"/>
      <c r="BG310" s="226"/>
      <c r="BH310" s="226"/>
      <c r="BR310" s="226"/>
      <c r="BS310" s="226"/>
    </row>
    <row r="311" ht="12.5" spans="15:71">
      <c r="O311" s="226"/>
      <c r="P311" s="226"/>
      <c r="Z311" s="226"/>
      <c r="AA311" s="226"/>
      <c r="AK311" s="226"/>
      <c r="AL311" s="226"/>
      <c r="AV311" s="226"/>
      <c r="AW311" s="226"/>
      <c r="BG311" s="226"/>
      <c r="BH311" s="226"/>
      <c r="BR311" s="226"/>
      <c r="BS311" s="226"/>
    </row>
    <row r="312" ht="12.5" spans="15:71">
      <c r="O312" s="226"/>
      <c r="P312" s="226"/>
      <c r="Z312" s="226"/>
      <c r="AA312" s="226"/>
      <c r="AK312" s="226"/>
      <c r="AL312" s="226"/>
      <c r="AV312" s="226"/>
      <c r="AW312" s="226"/>
      <c r="BG312" s="226"/>
      <c r="BH312" s="226"/>
      <c r="BR312" s="226"/>
      <c r="BS312" s="226"/>
    </row>
    <row r="313" ht="12.5" spans="15:71">
      <c r="O313" s="226"/>
      <c r="P313" s="226"/>
      <c r="Z313" s="226"/>
      <c r="AA313" s="226"/>
      <c r="AK313" s="226"/>
      <c r="AL313" s="226"/>
      <c r="AV313" s="226"/>
      <c r="AW313" s="226"/>
      <c r="BG313" s="226"/>
      <c r="BH313" s="226"/>
      <c r="BR313" s="226"/>
      <c r="BS313" s="226"/>
    </row>
    <row r="314" ht="12.5" spans="15:71">
      <c r="O314" s="226"/>
      <c r="P314" s="226"/>
      <c r="Z314" s="226"/>
      <c r="AA314" s="226"/>
      <c r="AK314" s="226"/>
      <c r="AL314" s="226"/>
      <c r="AV314" s="226"/>
      <c r="AW314" s="226"/>
      <c r="BG314" s="226"/>
      <c r="BH314" s="226"/>
      <c r="BR314" s="226"/>
      <c r="BS314" s="226"/>
    </row>
    <row r="315" ht="12.5" spans="15:71">
      <c r="O315" s="226"/>
      <c r="P315" s="226"/>
      <c r="Z315" s="226"/>
      <c r="AA315" s="226"/>
      <c r="AK315" s="226"/>
      <c r="AL315" s="226"/>
      <c r="AV315" s="226"/>
      <c r="AW315" s="226"/>
      <c r="BG315" s="226"/>
      <c r="BH315" s="226"/>
      <c r="BR315" s="226"/>
      <c r="BS315" s="226"/>
    </row>
    <row r="316" ht="12.5" spans="15:71">
      <c r="O316" s="226"/>
      <c r="P316" s="226"/>
      <c r="Z316" s="226"/>
      <c r="AA316" s="226"/>
      <c r="AK316" s="226"/>
      <c r="AL316" s="226"/>
      <c r="AV316" s="226"/>
      <c r="AW316" s="226"/>
      <c r="BG316" s="226"/>
      <c r="BH316" s="226"/>
      <c r="BR316" s="226"/>
      <c r="BS316" s="226"/>
    </row>
    <row r="317" ht="12.5" spans="15:71">
      <c r="O317" s="226"/>
      <c r="P317" s="226"/>
      <c r="Z317" s="226"/>
      <c r="AA317" s="226"/>
      <c r="AK317" s="226"/>
      <c r="AL317" s="226"/>
      <c r="AV317" s="226"/>
      <c r="AW317" s="226"/>
      <c r="BG317" s="226"/>
      <c r="BH317" s="226"/>
      <c r="BR317" s="226"/>
      <c r="BS317" s="226"/>
    </row>
    <row r="318" ht="12.5" spans="15:71">
      <c r="O318" s="226"/>
      <c r="P318" s="226"/>
      <c r="Z318" s="226"/>
      <c r="AA318" s="226"/>
      <c r="AK318" s="226"/>
      <c r="AL318" s="226"/>
      <c r="AV318" s="226"/>
      <c r="AW318" s="226"/>
      <c r="BG318" s="226"/>
      <c r="BH318" s="226"/>
      <c r="BR318" s="226"/>
      <c r="BS318" s="226"/>
    </row>
    <row r="319" ht="12.5" spans="15:71">
      <c r="O319" s="226"/>
      <c r="P319" s="226"/>
      <c r="Z319" s="226"/>
      <c r="AA319" s="226"/>
      <c r="AK319" s="226"/>
      <c r="AL319" s="226"/>
      <c r="AV319" s="226"/>
      <c r="AW319" s="226"/>
      <c r="BG319" s="226"/>
      <c r="BH319" s="226"/>
      <c r="BR319" s="226"/>
      <c r="BS319" s="226"/>
    </row>
    <row r="320" ht="12.5" spans="15:71">
      <c r="O320" s="226"/>
      <c r="P320" s="226"/>
      <c r="Z320" s="226"/>
      <c r="AA320" s="226"/>
      <c r="AK320" s="226"/>
      <c r="AL320" s="226"/>
      <c r="AV320" s="226"/>
      <c r="AW320" s="226"/>
      <c r="BG320" s="226"/>
      <c r="BH320" s="226"/>
      <c r="BR320" s="226"/>
      <c r="BS320" s="226"/>
    </row>
    <row r="321" ht="12.5" spans="15:71">
      <c r="O321" s="226"/>
      <c r="P321" s="226"/>
      <c r="Z321" s="226"/>
      <c r="AA321" s="226"/>
      <c r="AK321" s="226"/>
      <c r="AL321" s="226"/>
      <c r="AV321" s="226"/>
      <c r="AW321" s="226"/>
      <c r="BG321" s="226"/>
      <c r="BH321" s="226"/>
      <c r="BR321" s="226"/>
      <c r="BS321" s="226"/>
    </row>
    <row r="322" ht="12.5" spans="15:71">
      <c r="O322" s="226"/>
      <c r="P322" s="226"/>
      <c r="Z322" s="226"/>
      <c r="AA322" s="226"/>
      <c r="AK322" s="226"/>
      <c r="AL322" s="226"/>
      <c r="AV322" s="226"/>
      <c r="AW322" s="226"/>
      <c r="BG322" s="226"/>
      <c r="BH322" s="226"/>
      <c r="BR322" s="226"/>
      <c r="BS322" s="226"/>
    </row>
    <row r="323" ht="12.5" spans="15:71">
      <c r="O323" s="226"/>
      <c r="P323" s="226"/>
      <c r="Z323" s="226"/>
      <c r="AA323" s="226"/>
      <c r="AK323" s="226"/>
      <c r="AL323" s="226"/>
      <c r="AV323" s="226"/>
      <c r="AW323" s="226"/>
      <c r="BG323" s="226"/>
      <c r="BH323" s="226"/>
      <c r="BR323" s="226"/>
      <c r="BS323" s="226"/>
    </row>
    <row r="324" ht="12.5" spans="15:71">
      <c r="O324" s="226"/>
      <c r="P324" s="226"/>
      <c r="Z324" s="226"/>
      <c r="AA324" s="226"/>
      <c r="AK324" s="226"/>
      <c r="AL324" s="226"/>
      <c r="AV324" s="226"/>
      <c r="AW324" s="226"/>
      <c r="BG324" s="226"/>
      <c r="BH324" s="226"/>
      <c r="BR324" s="226"/>
      <c r="BS324" s="226"/>
    </row>
    <row r="325" ht="12.5" spans="15:71">
      <c r="O325" s="226"/>
      <c r="P325" s="226"/>
      <c r="Z325" s="226"/>
      <c r="AA325" s="226"/>
      <c r="AK325" s="226"/>
      <c r="AL325" s="226"/>
      <c r="AV325" s="226"/>
      <c r="AW325" s="226"/>
      <c r="BG325" s="226"/>
      <c r="BH325" s="226"/>
      <c r="BR325" s="226"/>
      <c r="BS325" s="226"/>
    </row>
    <row r="326" ht="12.5" spans="15:71">
      <c r="O326" s="226"/>
      <c r="P326" s="226"/>
      <c r="Z326" s="226"/>
      <c r="AA326" s="226"/>
      <c r="AK326" s="226"/>
      <c r="AL326" s="226"/>
      <c r="AV326" s="226"/>
      <c r="AW326" s="226"/>
      <c r="BG326" s="226"/>
      <c r="BH326" s="226"/>
      <c r="BR326" s="226"/>
      <c r="BS326" s="226"/>
    </row>
    <row r="327" ht="12.5" spans="15:71">
      <c r="O327" s="226"/>
      <c r="P327" s="226"/>
      <c r="Z327" s="226"/>
      <c r="AA327" s="226"/>
      <c r="AK327" s="226"/>
      <c r="AL327" s="226"/>
      <c r="AV327" s="226"/>
      <c r="AW327" s="226"/>
      <c r="BG327" s="226"/>
      <c r="BH327" s="226"/>
      <c r="BR327" s="226"/>
      <c r="BS327" s="226"/>
    </row>
    <row r="328" ht="12.5" spans="15:71">
      <c r="O328" s="226"/>
      <c r="P328" s="226"/>
      <c r="Z328" s="226"/>
      <c r="AA328" s="226"/>
      <c r="AK328" s="226"/>
      <c r="AL328" s="226"/>
      <c r="AV328" s="226"/>
      <c r="AW328" s="226"/>
      <c r="BG328" s="226"/>
      <c r="BH328" s="226"/>
      <c r="BR328" s="226"/>
      <c r="BS328" s="226"/>
    </row>
    <row r="329" ht="12.5" spans="15:71">
      <c r="O329" s="226"/>
      <c r="P329" s="226"/>
      <c r="Z329" s="226"/>
      <c r="AA329" s="226"/>
      <c r="AK329" s="226"/>
      <c r="AL329" s="226"/>
      <c r="AV329" s="226"/>
      <c r="AW329" s="226"/>
      <c r="BG329" s="226"/>
      <c r="BH329" s="226"/>
      <c r="BR329" s="226"/>
      <c r="BS329" s="226"/>
    </row>
    <row r="330" ht="12.5" spans="15:71">
      <c r="O330" s="226"/>
      <c r="P330" s="226"/>
      <c r="Z330" s="226"/>
      <c r="AA330" s="226"/>
      <c r="AK330" s="226"/>
      <c r="AL330" s="226"/>
      <c r="AV330" s="226"/>
      <c r="AW330" s="226"/>
      <c r="BG330" s="226"/>
      <c r="BH330" s="226"/>
      <c r="BR330" s="226"/>
      <c r="BS330" s="226"/>
    </row>
    <row r="331" ht="12.5" spans="15:71">
      <c r="O331" s="226"/>
      <c r="P331" s="226"/>
      <c r="Z331" s="226"/>
      <c r="AA331" s="226"/>
      <c r="AK331" s="226"/>
      <c r="AL331" s="226"/>
      <c r="AV331" s="226"/>
      <c r="AW331" s="226"/>
      <c r="BG331" s="226"/>
      <c r="BH331" s="226"/>
      <c r="BR331" s="226"/>
      <c r="BS331" s="226"/>
    </row>
    <row r="332" ht="12.5" spans="15:71">
      <c r="O332" s="226"/>
      <c r="P332" s="226"/>
      <c r="Z332" s="226"/>
      <c r="AA332" s="226"/>
      <c r="AK332" s="226"/>
      <c r="AL332" s="226"/>
      <c r="AV332" s="226"/>
      <c r="AW332" s="226"/>
      <c r="BG332" s="226"/>
      <c r="BH332" s="226"/>
      <c r="BR332" s="226"/>
      <c r="BS332" s="226"/>
    </row>
    <row r="333" ht="12.5" spans="15:71">
      <c r="O333" s="226"/>
      <c r="P333" s="226"/>
      <c r="Z333" s="226"/>
      <c r="AA333" s="226"/>
      <c r="AK333" s="226"/>
      <c r="AL333" s="226"/>
      <c r="AV333" s="226"/>
      <c r="AW333" s="226"/>
      <c r="BG333" s="226"/>
      <c r="BH333" s="226"/>
      <c r="BR333" s="226"/>
      <c r="BS333" s="226"/>
    </row>
    <row r="334" ht="12.5" spans="15:71">
      <c r="O334" s="226"/>
      <c r="P334" s="226"/>
      <c r="Z334" s="226"/>
      <c r="AA334" s="226"/>
      <c r="AK334" s="226"/>
      <c r="AL334" s="226"/>
      <c r="AV334" s="226"/>
      <c r="AW334" s="226"/>
      <c r="BG334" s="226"/>
      <c r="BH334" s="226"/>
      <c r="BR334" s="226"/>
      <c r="BS334" s="226"/>
    </row>
    <row r="335" ht="12.5" spans="15:71">
      <c r="O335" s="226"/>
      <c r="P335" s="226"/>
      <c r="Z335" s="226"/>
      <c r="AA335" s="226"/>
      <c r="AK335" s="226"/>
      <c r="AL335" s="226"/>
      <c r="AV335" s="226"/>
      <c r="AW335" s="226"/>
      <c r="BG335" s="226"/>
      <c r="BH335" s="226"/>
      <c r="BR335" s="226"/>
      <c r="BS335" s="226"/>
    </row>
    <row r="336" ht="12.5" spans="15:71">
      <c r="O336" s="226"/>
      <c r="P336" s="226"/>
      <c r="Z336" s="226"/>
      <c r="AA336" s="226"/>
      <c r="AK336" s="226"/>
      <c r="AL336" s="226"/>
      <c r="AV336" s="226"/>
      <c r="AW336" s="226"/>
      <c r="BG336" s="226"/>
      <c r="BH336" s="226"/>
      <c r="BR336" s="226"/>
      <c r="BS336" s="226"/>
    </row>
    <row r="337" ht="12.5" spans="15:71">
      <c r="O337" s="226"/>
      <c r="P337" s="226"/>
      <c r="Z337" s="226"/>
      <c r="AA337" s="226"/>
      <c r="AK337" s="226"/>
      <c r="AL337" s="226"/>
      <c r="AV337" s="226"/>
      <c r="AW337" s="226"/>
      <c r="BG337" s="226"/>
      <c r="BH337" s="226"/>
      <c r="BR337" s="226"/>
      <c r="BS337" s="226"/>
    </row>
    <row r="338" ht="12.5" spans="15:71">
      <c r="O338" s="226"/>
      <c r="P338" s="226"/>
      <c r="Z338" s="226"/>
      <c r="AA338" s="226"/>
      <c r="AK338" s="226"/>
      <c r="AL338" s="226"/>
      <c r="AV338" s="226"/>
      <c r="AW338" s="226"/>
      <c r="BG338" s="226"/>
      <c r="BH338" s="226"/>
      <c r="BR338" s="226"/>
      <c r="BS338" s="226"/>
    </row>
    <row r="339" ht="12.5" spans="15:71">
      <c r="O339" s="226"/>
      <c r="P339" s="226"/>
      <c r="Z339" s="226"/>
      <c r="AA339" s="226"/>
      <c r="AK339" s="226"/>
      <c r="AL339" s="226"/>
      <c r="AV339" s="226"/>
      <c r="AW339" s="226"/>
      <c r="BG339" s="226"/>
      <c r="BH339" s="226"/>
      <c r="BR339" s="226"/>
      <c r="BS339" s="226"/>
    </row>
    <row r="340" ht="12.5" spans="15:71">
      <c r="O340" s="226"/>
      <c r="P340" s="226"/>
      <c r="Z340" s="226"/>
      <c r="AA340" s="226"/>
      <c r="AK340" s="226"/>
      <c r="AL340" s="226"/>
      <c r="AV340" s="226"/>
      <c r="AW340" s="226"/>
      <c r="BG340" s="226"/>
      <c r="BH340" s="226"/>
      <c r="BR340" s="226"/>
      <c r="BS340" s="226"/>
    </row>
    <row r="341" ht="12.5" spans="15:71">
      <c r="O341" s="226"/>
      <c r="P341" s="226"/>
      <c r="Z341" s="226"/>
      <c r="AA341" s="226"/>
      <c r="AK341" s="226"/>
      <c r="AL341" s="226"/>
      <c r="AV341" s="226"/>
      <c r="AW341" s="226"/>
      <c r="BG341" s="226"/>
      <c r="BH341" s="226"/>
      <c r="BR341" s="226"/>
      <c r="BS341" s="226"/>
    </row>
    <row r="342" ht="12.5" spans="15:71">
      <c r="O342" s="226"/>
      <c r="P342" s="226"/>
      <c r="Z342" s="226"/>
      <c r="AA342" s="226"/>
      <c r="AK342" s="226"/>
      <c r="AL342" s="226"/>
      <c r="AV342" s="226"/>
      <c r="AW342" s="226"/>
      <c r="BG342" s="226"/>
      <c r="BH342" s="226"/>
      <c r="BR342" s="226"/>
      <c r="BS342" s="226"/>
    </row>
    <row r="343" ht="12.5" spans="15:71">
      <c r="O343" s="226"/>
      <c r="P343" s="226"/>
      <c r="Z343" s="226"/>
      <c r="AA343" s="226"/>
      <c r="AK343" s="226"/>
      <c r="AL343" s="226"/>
      <c r="AV343" s="226"/>
      <c r="AW343" s="226"/>
      <c r="BG343" s="226"/>
      <c r="BH343" s="226"/>
      <c r="BR343" s="226"/>
      <c r="BS343" s="226"/>
    </row>
    <row r="344" ht="12.5" spans="15:71">
      <c r="O344" s="226"/>
      <c r="P344" s="226"/>
      <c r="Z344" s="226"/>
      <c r="AA344" s="226"/>
      <c r="AK344" s="226"/>
      <c r="AL344" s="226"/>
      <c r="AV344" s="226"/>
      <c r="AW344" s="226"/>
      <c r="BG344" s="226"/>
      <c r="BH344" s="226"/>
      <c r="BR344" s="226"/>
      <c r="BS344" s="226"/>
    </row>
    <row r="345" ht="12.5" spans="15:71">
      <c r="O345" s="226"/>
      <c r="P345" s="226"/>
      <c r="Z345" s="226"/>
      <c r="AA345" s="226"/>
      <c r="AK345" s="226"/>
      <c r="AL345" s="226"/>
      <c r="AV345" s="226"/>
      <c r="AW345" s="226"/>
      <c r="BG345" s="226"/>
      <c r="BH345" s="226"/>
      <c r="BR345" s="226"/>
      <c r="BS345" s="226"/>
    </row>
    <row r="346" ht="12.5" spans="15:71">
      <c r="O346" s="226"/>
      <c r="P346" s="226"/>
      <c r="Z346" s="226"/>
      <c r="AA346" s="226"/>
      <c r="AK346" s="226"/>
      <c r="AL346" s="226"/>
      <c r="AV346" s="226"/>
      <c r="AW346" s="226"/>
      <c r="BG346" s="226"/>
      <c r="BH346" s="226"/>
      <c r="BR346" s="226"/>
      <c r="BS346" s="226"/>
    </row>
    <row r="347" ht="12.5" spans="15:71">
      <c r="O347" s="226"/>
      <c r="P347" s="226"/>
      <c r="Z347" s="226"/>
      <c r="AA347" s="226"/>
      <c r="AK347" s="226"/>
      <c r="AL347" s="226"/>
      <c r="AV347" s="226"/>
      <c r="AW347" s="226"/>
      <c r="BG347" s="226"/>
      <c r="BH347" s="226"/>
      <c r="BR347" s="226"/>
      <c r="BS347" s="226"/>
    </row>
    <row r="348" ht="12.5" spans="15:71">
      <c r="O348" s="226"/>
      <c r="P348" s="226"/>
      <c r="Z348" s="226"/>
      <c r="AA348" s="226"/>
      <c r="AK348" s="226"/>
      <c r="AL348" s="226"/>
      <c r="AV348" s="226"/>
      <c r="AW348" s="226"/>
      <c r="BG348" s="226"/>
      <c r="BH348" s="226"/>
      <c r="BR348" s="226"/>
      <c r="BS348" s="226"/>
    </row>
    <row r="349" ht="12.5" spans="15:71">
      <c r="O349" s="226"/>
      <c r="P349" s="226"/>
      <c r="Z349" s="226"/>
      <c r="AA349" s="226"/>
      <c r="AK349" s="226"/>
      <c r="AL349" s="226"/>
      <c r="AV349" s="226"/>
      <c r="AW349" s="226"/>
      <c r="BG349" s="226"/>
      <c r="BH349" s="226"/>
      <c r="BR349" s="226"/>
      <c r="BS349" s="226"/>
    </row>
    <row r="350" ht="12.5" spans="15:71">
      <c r="O350" s="226"/>
      <c r="P350" s="226"/>
      <c r="Z350" s="226"/>
      <c r="AA350" s="226"/>
      <c r="AK350" s="226"/>
      <c r="AL350" s="226"/>
      <c r="AV350" s="226"/>
      <c r="AW350" s="226"/>
      <c r="BG350" s="226"/>
      <c r="BH350" s="226"/>
      <c r="BR350" s="226"/>
      <c r="BS350" s="226"/>
    </row>
    <row r="351" ht="12.5" spans="15:71">
      <c r="O351" s="226"/>
      <c r="P351" s="226"/>
      <c r="Z351" s="226"/>
      <c r="AA351" s="226"/>
      <c r="AK351" s="226"/>
      <c r="AL351" s="226"/>
      <c r="AV351" s="226"/>
      <c r="AW351" s="226"/>
      <c r="BG351" s="226"/>
      <c r="BH351" s="226"/>
      <c r="BR351" s="226"/>
      <c r="BS351" s="226"/>
    </row>
    <row r="352" ht="12.5" spans="15:71">
      <c r="O352" s="226"/>
      <c r="P352" s="226"/>
      <c r="Z352" s="226"/>
      <c r="AA352" s="226"/>
      <c r="AK352" s="226"/>
      <c r="AL352" s="226"/>
      <c r="AV352" s="226"/>
      <c r="AW352" s="226"/>
      <c r="BG352" s="226"/>
      <c r="BH352" s="226"/>
      <c r="BR352" s="226"/>
      <c r="BS352" s="226"/>
    </row>
    <row r="353" ht="12.5" spans="15:71">
      <c r="O353" s="226"/>
      <c r="P353" s="226"/>
      <c r="Z353" s="226"/>
      <c r="AA353" s="226"/>
      <c r="AK353" s="226"/>
      <c r="AL353" s="226"/>
      <c r="AV353" s="226"/>
      <c r="AW353" s="226"/>
      <c r="BG353" s="226"/>
      <c r="BH353" s="226"/>
      <c r="BR353" s="226"/>
      <c r="BS353" s="226"/>
    </row>
    <row r="354" ht="12.5" spans="15:71">
      <c r="O354" s="226"/>
      <c r="P354" s="226"/>
      <c r="Z354" s="226"/>
      <c r="AA354" s="226"/>
      <c r="AK354" s="226"/>
      <c r="AL354" s="226"/>
      <c r="AV354" s="226"/>
      <c r="AW354" s="226"/>
      <c r="BG354" s="226"/>
      <c r="BH354" s="226"/>
      <c r="BR354" s="226"/>
      <c r="BS354" s="226"/>
    </row>
    <row r="355" ht="12.5" spans="15:71">
      <c r="O355" s="226"/>
      <c r="P355" s="226"/>
      <c r="Z355" s="226"/>
      <c r="AA355" s="226"/>
      <c r="AK355" s="226"/>
      <c r="AL355" s="226"/>
      <c r="AV355" s="226"/>
      <c r="AW355" s="226"/>
      <c r="BG355" s="226"/>
      <c r="BH355" s="226"/>
      <c r="BR355" s="226"/>
      <c r="BS355" s="226"/>
    </row>
    <row r="356" ht="12.5" spans="15:71">
      <c r="O356" s="226"/>
      <c r="P356" s="226"/>
      <c r="Z356" s="226"/>
      <c r="AA356" s="226"/>
      <c r="AK356" s="226"/>
      <c r="AL356" s="226"/>
      <c r="AV356" s="226"/>
      <c r="AW356" s="226"/>
      <c r="BG356" s="226"/>
      <c r="BH356" s="226"/>
      <c r="BR356" s="226"/>
      <c r="BS356" s="226"/>
    </row>
    <row r="357" ht="12.5" spans="15:71">
      <c r="O357" s="226"/>
      <c r="P357" s="226"/>
      <c r="Z357" s="226"/>
      <c r="AA357" s="226"/>
      <c r="AK357" s="226"/>
      <c r="AL357" s="226"/>
      <c r="AV357" s="226"/>
      <c r="AW357" s="226"/>
      <c r="BG357" s="226"/>
      <c r="BH357" s="226"/>
      <c r="BR357" s="226"/>
      <c r="BS357" s="226"/>
    </row>
    <row r="358" ht="12.5" spans="15:71">
      <c r="O358" s="226"/>
      <c r="P358" s="226"/>
      <c r="Z358" s="226"/>
      <c r="AA358" s="226"/>
      <c r="AK358" s="226"/>
      <c r="AL358" s="226"/>
      <c r="AV358" s="226"/>
      <c r="AW358" s="226"/>
      <c r="BG358" s="226"/>
      <c r="BH358" s="226"/>
      <c r="BR358" s="226"/>
      <c r="BS358" s="226"/>
    </row>
    <row r="359" ht="12.5" spans="15:71">
      <c r="O359" s="226"/>
      <c r="P359" s="226"/>
      <c r="Z359" s="226"/>
      <c r="AA359" s="226"/>
      <c r="AK359" s="226"/>
      <c r="AL359" s="226"/>
      <c r="AV359" s="226"/>
      <c r="AW359" s="226"/>
      <c r="BG359" s="226"/>
      <c r="BH359" s="226"/>
      <c r="BR359" s="226"/>
      <c r="BS359" s="226"/>
    </row>
    <row r="360" ht="12.5" spans="15:71">
      <c r="O360" s="226"/>
      <c r="P360" s="226"/>
      <c r="Z360" s="226"/>
      <c r="AA360" s="226"/>
      <c r="AK360" s="226"/>
      <c r="AL360" s="226"/>
      <c r="AV360" s="226"/>
      <c r="AW360" s="226"/>
      <c r="BG360" s="226"/>
      <c r="BH360" s="226"/>
      <c r="BR360" s="226"/>
      <c r="BS360" s="226"/>
    </row>
    <row r="361" ht="12.5" spans="15:71">
      <c r="O361" s="226"/>
      <c r="P361" s="226"/>
      <c r="Z361" s="226"/>
      <c r="AA361" s="226"/>
      <c r="AK361" s="226"/>
      <c r="AL361" s="226"/>
      <c r="AV361" s="226"/>
      <c r="AW361" s="226"/>
      <c r="BG361" s="226"/>
      <c r="BH361" s="226"/>
      <c r="BR361" s="226"/>
      <c r="BS361" s="226"/>
    </row>
    <row r="362" ht="12.5" spans="15:71">
      <c r="O362" s="226"/>
      <c r="P362" s="226"/>
      <c r="Z362" s="226"/>
      <c r="AA362" s="226"/>
      <c r="AK362" s="226"/>
      <c r="AL362" s="226"/>
      <c r="AV362" s="226"/>
      <c r="AW362" s="226"/>
      <c r="BG362" s="226"/>
      <c r="BH362" s="226"/>
      <c r="BR362" s="226"/>
      <c r="BS362" s="226"/>
    </row>
    <row r="363" ht="12.5" spans="15:71">
      <c r="O363" s="226"/>
      <c r="P363" s="226"/>
      <c r="Z363" s="226"/>
      <c r="AA363" s="226"/>
      <c r="AK363" s="226"/>
      <c r="AL363" s="226"/>
      <c r="AV363" s="226"/>
      <c r="AW363" s="226"/>
      <c r="BG363" s="226"/>
      <c r="BH363" s="226"/>
      <c r="BR363" s="226"/>
      <c r="BS363" s="226"/>
    </row>
    <row r="364" ht="12.5" spans="15:71">
      <c r="O364" s="226"/>
      <c r="P364" s="226"/>
      <c r="Z364" s="226"/>
      <c r="AA364" s="226"/>
      <c r="AK364" s="226"/>
      <c r="AL364" s="226"/>
      <c r="AV364" s="226"/>
      <c r="AW364" s="226"/>
      <c r="BG364" s="226"/>
      <c r="BH364" s="226"/>
      <c r="BR364" s="226"/>
      <c r="BS364" s="226"/>
    </row>
    <row r="365" ht="12.5" spans="15:71">
      <c r="O365" s="226"/>
      <c r="P365" s="226"/>
      <c r="Z365" s="226"/>
      <c r="AA365" s="226"/>
      <c r="AK365" s="226"/>
      <c r="AL365" s="226"/>
      <c r="AV365" s="226"/>
      <c r="AW365" s="226"/>
      <c r="BG365" s="226"/>
      <c r="BH365" s="226"/>
      <c r="BR365" s="226"/>
      <c r="BS365" s="226"/>
    </row>
    <row r="366" ht="12.5" spans="15:71">
      <c r="O366" s="226"/>
      <c r="P366" s="226"/>
      <c r="Z366" s="226"/>
      <c r="AA366" s="226"/>
      <c r="AK366" s="226"/>
      <c r="AL366" s="226"/>
      <c r="AV366" s="226"/>
      <c r="AW366" s="226"/>
      <c r="BG366" s="226"/>
      <c r="BH366" s="226"/>
      <c r="BR366" s="226"/>
      <c r="BS366" s="226"/>
    </row>
    <row r="367" ht="12.5" spans="15:71">
      <c r="O367" s="226"/>
      <c r="P367" s="226"/>
      <c r="Z367" s="226"/>
      <c r="AA367" s="226"/>
      <c r="AK367" s="226"/>
      <c r="AL367" s="226"/>
      <c r="AV367" s="226"/>
      <c r="AW367" s="226"/>
      <c r="BG367" s="226"/>
      <c r="BH367" s="226"/>
      <c r="BR367" s="226"/>
      <c r="BS367" s="226"/>
    </row>
    <row r="368" ht="12.5" spans="15:71">
      <c r="O368" s="226"/>
      <c r="P368" s="226"/>
      <c r="Z368" s="226"/>
      <c r="AA368" s="226"/>
      <c r="AK368" s="226"/>
      <c r="AL368" s="226"/>
      <c r="AV368" s="226"/>
      <c r="AW368" s="226"/>
      <c r="BG368" s="226"/>
      <c r="BH368" s="226"/>
      <c r="BR368" s="226"/>
      <c r="BS368" s="226"/>
    </row>
    <row r="369" ht="12.5" spans="15:71">
      <c r="O369" s="226"/>
      <c r="P369" s="226"/>
      <c r="Z369" s="226"/>
      <c r="AA369" s="226"/>
      <c r="AK369" s="226"/>
      <c r="AL369" s="226"/>
      <c r="AV369" s="226"/>
      <c r="AW369" s="226"/>
      <c r="BG369" s="226"/>
      <c r="BH369" s="226"/>
      <c r="BR369" s="226"/>
      <c r="BS369" s="226"/>
    </row>
    <row r="370" ht="12.5" spans="15:71">
      <c r="O370" s="226"/>
      <c r="P370" s="226"/>
      <c r="Z370" s="226"/>
      <c r="AA370" s="226"/>
      <c r="AK370" s="226"/>
      <c r="AL370" s="226"/>
      <c r="AV370" s="226"/>
      <c r="AW370" s="226"/>
      <c r="BG370" s="226"/>
      <c r="BH370" s="226"/>
      <c r="BR370" s="226"/>
      <c r="BS370" s="226"/>
    </row>
    <row r="371" ht="12.5" spans="15:71">
      <c r="O371" s="226"/>
      <c r="P371" s="226"/>
      <c r="Z371" s="226"/>
      <c r="AA371" s="226"/>
      <c r="AK371" s="226"/>
      <c r="AL371" s="226"/>
      <c r="AV371" s="226"/>
      <c r="AW371" s="226"/>
      <c r="BG371" s="226"/>
      <c r="BH371" s="226"/>
      <c r="BR371" s="226"/>
      <c r="BS371" s="226"/>
    </row>
    <row r="372" ht="12.5" spans="15:71">
      <c r="O372" s="226"/>
      <c r="P372" s="226"/>
      <c r="Z372" s="226"/>
      <c r="AA372" s="226"/>
      <c r="AK372" s="226"/>
      <c r="AL372" s="226"/>
      <c r="AV372" s="226"/>
      <c r="AW372" s="226"/>
      <c r="BG372" s="226"/>
      <c r="BH372" s="226"/>
      <c r="BR372" s="226"/>
      <c r="BS372" s="226"/>
    </row>
    <row r="373" ht="12.5" spans="15:71">
      <c r="O373" s="226"/>
      <c r="P373" s="226"/>
      <c r="Z373" s="226"/>
      <c r="AA373" s="226"/>
      <c r="AK373" s="226"/>
      <c r="AL373" s="226"/>
      <c r="AV373" s="226"/>
      <c r="AW373" s="226"/>
      <c r="BG373" s="226"/>
      <c r="BH373" s="226"/>
      <c r="BR373" s="226"/>
      <c r="BS373" s="226"/>
    </row>
    <row r="374" ht="12.5" spans="15:71">
      <c r="O374" s="226"/>
      <c r="P374" s="226"/>
      <c r="Z374" s="226"/>
      <c r="AA374" s="226"/>
      <c r="AK374" s="226"/>
      <c r="AL374" s="226"/>
      <c r="AV374" s="226"/>
      <c r="AW374" s="226"/>
      <c r="BG374" s="226"/>
      <c r="BH374" s="226"/>
      <c r="BR374" s="226"/>
      <c r="BS374" s="226"/>
    </row>
    <row r="375" ht="12.5" spans="15:71">
      <c r="O375" s="226"/>
      <c r="P375" s="226"/>
      <c r="Z375" s="226"/>
      <c r="AA375" s="226"/>
      <c r="AK375" s="226"/>
      <c r="AL375" s="226"/>
      <c r="AV375" s="226"/>
      <c r="AW375" s="226"/>
      <c r="BG375" s="226"/>
      <c r="BH375" s="226"/>
      <c r="BR375" s="226"/>
      <c r="BS375" s="226"/>
    </row>
    <row r="376" ht="12.5" spans="15:71">
      <c r="O376" s="226"/>
      <c r="P376" s="226"/>
      <c r="Z376" s="226"/>
      <c r="AA376" s="226"/>
      <c r="AK376" s="226"/>
      <c r="AL376" s="226"/>
      <c r="AV376" s="226"/>
      <c r="AW376" s="226"/>
      <c r="BG376" s="226"/>
      <c r="BH376" s="226"/>
      <c r="BR376" s="226"/>
      <c r="BS376" s="226"/>
    </row>
    <row r="377" ht="12.5" spans="15:71">
      <c r="O377" s="226"/>
      <c r="P377" s="226"/>
      <c r="Z377" s="226"/>
      <c r="AA377" s="226"/>
      <c r="AK377" s="226"/>
      <c r="AL377" s="226"/>
      <c r="AV377" s="226"/>
      <c r="AW377" s="226"/>
      <c r="BG377" s="226"/>
      <c r="BH377" s="226"/>
      <c r="BR377" s="226"/>
      <c r="BS377" s="226"/>
    </row>
    <row r="378" ht="12.5" spans="15:71">
      <c r="O378" s="226"/>
      <c r="P378" s="226"/>
      <c r="Z378" s="226"/>
      <c r="AA378" s="226"/>
      <c r="AK378" s="226"/>
      <c r="AL378" s="226"/>
      <c r="AV378" s="226"/>
      <c r="AW378" s="226"/>
      <c r="BG378" s="226"/>
      <c r="BH378" s="226"/>
      <c r="BR378" s="226"/>
      <c r="BS378" s="226"/>
    </row>
    <row r="379" ht="12.5" spans="15:71">
      <c r="O379" s="226"/>
      <c r="P379" s="226"/>
      <c r="Z379" s="226"/>
      <c r="AA379" s="226"/>
      <c r="AK379" s="226"/>
      <c r="AL379" s="226"/>
      <c r="AV379" s="226"/>
      <c r="AW379" s="226"/>
      <c r="BG379" s="226"/>
      <c r="BH379" s="226"/>
      <c r="BR379" s="226"/>
      <c r="BS379" s="226"/>
    </row>
    <row r="380" ht="12.5" spans="15:71">
      <c r="O380" s="226"/>
      <c r="P380" s="226"/>
      <c r="Z380" s="226"/>
      <c r="AA380" s="226"/>
      <c r="AK380" s="226"/>
      <c r="AL380" s="226"/>
      <c r="AV380" s="226"/>
      <c r="AW380" s="226"/>
      <c r="BG380" s="226"/>
      <c r="BH380" s="226"/>
      <c r="BR380" s="226"/>
      <c r="BS380" s="226"/>
    </row>
    <row r="381" ht="12.5" spans="15:71">
      <c r="O381" s="226"/>
      <c r="P381" s="226"/>
      <c r="Z381" s="226"/>
      <c r="AA381" s="226"/>
      <c r="AK381" s="226"/>
      <c r="AL381" s="226"/>
      <c r="AV381" s="226"/>
      <c r="AW381" s="226"/>
      <c r="BG381" s="226"/>
      <c r="BH381" s="226"/>
      <c r="BR381" s="226"/>
      <c r="BS381" s="226"/>
    </row>
    <row r="382" ht="12.5" spans="15:71">
      <c r="O382" s="226"/>
      <c r="P382" s="226"/>
      <c r="Z382" s="226"/>
      <c r="AA382" s="226"/>
      <c r="AK382" s="226"/>
      <c r="AL382" s="226"/>
      <c r="AV382" s="226"/>
      <c r="AW382" s="226"/>
      <c r="BG382" s="226"/>
      <c r="BH382" s="226"/>
      <c r="BR382" s="226"/>
      <c r="BS382" s="226"/>
    </row>
    <row r="383" ht="12.5" spans="15:71">
      <c r="O383" s="226"/>
      <c r="P383" s="226"/>
      <c r="Z383" s="226"/>
      <c r="AA383" s="226"/>
      <c r="AK383" s="226"/>
      <c r="AL383" s="226"/>
      <c r="AV383" s="226"/>
      <c r="AW383" s="226"/>
      <c r="BG383" s="226"/>
      <c r="BH383" s="226"/>
      <c r="BR383" s="226"/>
      <c r="BS383" s="226"/>
    </row>
    <row r="384" ht="12.5" spans="15:71">
      <c r="O384" s="226"/>
      <c r="P384" s="226"/>
      <c r="Z384" s="226"/>
      <c r="AA384" s="226"/>
      <c r="AK384" s="226"/>
      <c r="AL384" s="226"/>
      <c r="AV384" s="226"/>
      <c r="AW384" s="226"/>
      <c r="BG384" s="226"/>
      <c r="BH384" s="226"/>
      <c r="BR384" s="226"/>
      <c r="BS384" s="226"/>
    </row>
    <row r="385" ht="12.5" spans="15:71">
      <c r="O385" s="226"/>
      <c r="P385" s="226"/>
      <c r="Z385" s="226"/>
      <c r="AA385" s="226"/>
      <c r="AK385" s="226"/>
      <c r="AL385" s="226"/>
      <c r="AV385" s="226"/>
      <c r="AW385" s="226"/>
      <c r="BG385" s="226"/>
      <c r="BH385" s="226"/>
      <c r="BR385" s="226"/>
      <c r="BS385" s="226"/>
    </row>
    <row r="386" ht="12.5" spans="15:71">
      <c r="O386" s="226"/>
      <c r="P386" s="226"/>
      <c r="Z386" s="226"/>
      <c r="AA386" s="226"/>
      <c r="AK386" s="226"/>
      <c r="AL386" s="226"/>
      <c r="AV386" s="226"/>
      <c r="AW386" s="226"/>
      <c r="BG386" s="226"/>
      <c r="BH386" s="226"/>
      <c r="BR386" s="226"/>
      <c r="BS386" s="226"/>
    </row>
    <row r="387" ht="12.5" spans="15:71">
      <c r="O387" s="226"/>
      <c r="P387" s="226"/>
      <c r="Z387" s="226"/>
      <c r="AA387" s="226"/>
      <c r="AK387" s="226"/>
      <c r="AL387" s="226"/>
      <c r="AV387" s="226"/>
      <c r="AW387" s="226"/>
      <c r="BG387" s="226"/>
      <c r="BH387" s="226"/>
      <c r="BR387" s="226"/>
      <c r="BS387" s="226"/>
    </row>
    <row r="388" ht="12.5" spans="15:71">
      <c r="O388" s="226"/>
      <c r="P388" s="226"/>
      <c r="Z388" s="226"/>
      <c r="AA388" s="226"/>
      <c r="AK388" s="226"/>
      <c r="AL388" s="226"/>
      <c r="AV388" s="226"/>
      <c r="AW388" s="226"/>
      <c r="BG388" s="226"/>
      <c r="BH388" s="226"/>
      <c r="BR388" s="226"/>
      <c r="BS388" s="226"/>
    </row>
    <row r="389" ht="12.5" spans="15:71">
      <c r="O389" s="226"/>
      <c r="P389" s="226"/>
      <c r="Z389" s="226"/>
      <c r="AA389" s="226"/>
      <c r="AK389" s="226"/>
      <c r="AL389" s="226"/>
      <c r="AV389" s="226"/>
      <c r="AW389" s="226"/>
      <c r="BG389" s="226"/>
      <c r="BH389" s="226"/>
      <c r="BR389" s="226"/>
      <c r="BS389" s="226"/>
    </row>
    <row r="390" ht="12.5" spans="15:71">
      <c r="O390" s="226"/>
      <c r="P390" s="226"/>
      <c r="Z390" s="226"/>
      <c r="AA390" s="226"/>
      <c r="AK390" s="226"/>
      <c r="AL390" s="226"/>
      <c r="AV390" s="226"/>
      <c r="AW390" s="226"/>
      <c r="BG390" s="226"/>
      <c r="BH390" s="226"/>
      <c r="BR390" s="226"/>
      <c r="BS390" s="226"/>
    </row>
    <row r="391" ht="12.5" spans="15:71">
      <c r="O391" s="226"/>
      <c r="P391" s="226"/>
      <c r="Z391" s="226"/>
      <c r="AA391" s="226"/>
      <c r="AK391" s="226"/>
      <c r="AL391" s="226"/>
      <c r="AV391" s="226"/>
      <c r="AW391" s="226"/>
      <c r="BG391" s="226"/>
      <c r="BH391" s="226"/>
      <c r="BR391" s="226"/>
      <c r="BS391" s="226"/>
    </row>
    <row r="392" ht="12.5" spans="15:71">
      <c r="O392" s="226"/>
      <c r="P392" s="226"/>
      <c r="Z392" s="226"/>
      <c r="AA392" s="226"/>
      <c r="AK392" s="226"/>
      <c r="AL392" s="226"/>
      <c r="AV392" s="226"/>
      <c r="AW392" s="226"/>
      <c r="BG392" s="226"/>
      <c r="BH392" s="226"/>
      <c r="BR392" s="226"/>
      <c r="BS392" s="226"/>
    </row>
    <row r="393" ht="12.5" spans="15:71">
      <c r="O393" s="226"/>
      <c r="P393" s="226"/>
      <c r="Z393" s="226"/>
      <c r="AA393" s="226"/>
      <c r="AK393" s="226"/>
      <c r="AL393" s="226"/>
      <c r="AV393" s="226"/>
      <c r="AW393" s="226"/>
      <c r="BG393" s="226"/>
      <c r="BH393" s="226"/>
      <c r="BR393" s="226"/>
      <c r="BS393" s="226"/>
    </row>
    <row r="394" ht="12.5" spans="15:71">
      <c r="O394" s="226"/>
      <c r="P394" s="226"/>
      <c r="Z394" s="226"/>
      <c r="AA394" s="226"/>
      <c r="AK394" s="226"/>
      <c r="AL394" s="226"/>
      <c r="AV394" s="226"/>
      <c r="AW394" s="226"/>
      <c r="BG394" s="226"/>
      <c r="BH394" s="226"/>
      <c r="BR394" s="226"/>
      <c r="BS394" s="226"/>
    </row>
    <row r="395" ht="12.5" spans="15:71">
      <c r="O395" s="226"/>
      <c r="P395" s="226"/>
      <c r="Z395" s="226"/>
      <c r="AA395" s="226"/>
      <c r="AK395" s="226"/>
      <c r="AL395" s="226"/>
      <c r="AV395" s="226"/>
      <c r="AW395" s="226"/>
      <c r="BG395" s="226"/>
      <c r="BH395" s="226"/>
      <c r="BR395" s="226"/>
      <c r="BS395" s="226"/>
    </row>
    <row r="396" ht="12.5" spans="15:71">
      <c r="O396" s="226"/>
      <c r="P396" s="226"/>
      <c r="Z396" s="226"/>
      <c r="AA396" s="226"/>
      <c r="AK396" s="226"/>
      <c r="AL396" s="226"/>
      <c r="AV396" s="226"/>
      <c r="AW396" s="226"/>
      <c r="BG396" s="226"/>
      <c r="BH396" s="226"/>
      <c r="BR396" s="226"/>
      <c r="BS396" s="226"/>
    </row>
    <row r="397" ht="12.5" spans="15:71">
      <c r="O397" s="226"/>
      <c r="P397" s="226"/>
      <c r="Z397" s="226"/>
      <c r="AA397" s="226"/>
      <c r="AK397" s="226"/>
      <c r="AL397" s="226"/>
      <c r="AV397" s="226"/>
      <c r="AW397" s="226"/>
      <c r="BG397" s="226"/>
      <c r="BH397" s="226"/>
      <c r="BR397" s="226"/>
      <c r="BS397" s="226"/>
    </row>
    <row r="398" ht="12.5" spans="15:71">
      <c r="O398" s="226"/>
      <c r="P398" s="226"/>
      <c r="Z398" s="226"/>
      <c r="AA398" s="226"/>
      <c r="AK398" s="226"/>
      <c r="AL398" s="226"/>
      <c r="AV398" s="226"/>
      <c r="AW398" s="226"/>
      <c r="BG398" s="226"/>
      <c r="BH398" s="226"/>
      <c r="BR398" s="226"/>
      <c r="BS398" s="226"/>
    </row>
    <row r="399" ht="12.5" spans="15:71">
      <c r="O399" s="226"/>
      <c r="P399" s="226"/>
      <c r="Z399" s="226"/>
      <c r="AA399" s="226"/>
      <c r="AK399" s="226"/>
      <c r="AL399" s="226"/>
      <c r="AV399" s="226"/>
      <c r="AW399" s="226"/>
      <c r="BG399" s="226"/>
      <c r="BH399" s="226"/>
      <c r="BR399" s="226"/>
      <c r="BS399" s="226"/>
    </row>
    <row r="400" ht="12.5" spans="15:71">
      <c r="O400" s="226"/>
      <c r="P400" s="226"/>
      <c r="Z400" s="226"/>
      <c r="AA400" s="226"/>
      <c r="AK400" s="226"/>
      <c r="AL400" s="226"/>
      <c r="AV400" s="226"/>
      <c r="AW400" s="226"/>
      <c r="BG400" s="226"/>
      <c r="BH400" s="226"/>
      <c r="BR400" s="226"/>
      <c r="BS400" s="226"/>
    </row>
    <row r="401" ht="12.5" spans="15:71">
      <c r="O401" s="226"/>
      <c r="P401" s="226"/>
      <c r="Z401" s="226"/>
      <c r="AA401" s="226"/>
      <c r="AK401" s="226"/>
      <c r="AL401" s="226"/>
      <c r="AV401" s="226"/>
      <c r="AW401" s="226"/>
      <c r="BG401" s="226"/>
      <c r="BH401" s="226"/>
      <c r="BR401" s="226"/>
      <c r="BS401" s="226"/>
    </row>
    <row r="402" ht="12.5" spans="15:71">
      <c r="O402" s="226"/>
      <c r="P402" s="226"/>
      <c r="Z402" s="226"/>
      <c r="AA402" s="226"/>
      <c r="AK402" s="226"/>
      <c r="AL402" s="226"/>
      <c r="AV402" s="226"/>
      <c r="AW402" s="226"/>
      <c r="BG402" s="226"/>
      <c r="BH402" s="226"/>
      <c r="BR402" s="226"/>
      <c r="BS402" s="226"/>
    </row>
    <row r="403" ht="12.5" spans="15:71">
      <c r="O403" s="226"/>
      <c r="P403" s="226"/>
      <c r="Z403" s="226"/>
      <c r="AA403" s="226"/>
      <c r="AK403" s="226"/>
      <c r="AL403" s="226"/>
      <c r="AV403" s="226"/>
      <c r="AW403" s="226"/>
      <c r="BG403" s="226"/>
      <c r="BH403" s="226"/>
      <c r="BR403" s="226"/>
      <c r="BS403" s="226"/>
    </row>
    <row r="404" ht="12.5" spans="15:71">
      <c r="O404" s="226"/>
      <c r="P404" s="226"/>
      <c r="Z404" s="226"/>
      <c r="AA404" s="226"/>
      <c r="AK404" s="226"/>
      <c r="AL404" s="226"/>
      <c r="AV404" s="226"/>
      <c r="AW404" s="226"/>
      <c r="BG404" s="226"/>
      <c r="BH404" s="226"/>
      <c r="BR404" s="226"/>
      <c r="BS404" s="226"/>
    </row>
    <row r="405" ht="12.5" spans="15:71">
      <c r="O405" s="226"/>
      <c r="P405" s="226"/>
      <c r="Z405" s="226"/>
      <c r="AA405" s="226"/>
      <c r="AK405" s="226"/>
      <c r="AL405" s="226"/>
      <c r="AV405" s="226"/>
      <c r="AW405" s="226"/>
      <c r="BG405" s="226"/>
      <c r="BH405" s="226"/>
      <c r="BR405" s="226"/>
      <c r="BS405" s="226"/>
    </row>
    <row r="406" ht="12.5" spans="15:71">
      <c r="O406" s="226"/>
      <c r="P406" s="226"/>
      <c r="Z406" s="226"/>
      <c r="AA406" s="226"/>
      <c r="AK406" s="226"/>
      <c r="AL406" s="226"/>
      <c r="AV406" s="226"/>
      <c r="AW406" s="226"/>
      <c r="BG406" s="226"/>
      <c r="BH406" s="226"/>
      <c r="BR406" s="226"/>
      <c r="BS406" s="226"/>
    </row>
    <row r="407" ht="12.5" spans="15:71">
      <c r="O407" s="226"/>
      <c r="P407" s="226"/>
      <c r="Z407" s="226"/>
      <c r="AA407" s="226"/>
      <c r="AK407" s="226"/>
      <c r="AL407" s="226"/>
      <c r="AV407" s="226"/>
      <c r="AW407" s="226"/>
      <c r="BG407" s="226"/>
      <c r="BH407" s="226"/>
      <c r="BR407" s="226"/>
      <c r="BS407" s="226"/>
    </row>
    <row r="408" ht="12.5" spans="15:71">
      <c r="O408" s="226"/>
      <c r="P408" s="226"/>
      <c r="Z408" s="226"/>
      <c r="AA408" s="226"/>
      <c r="AK408" s="226"/>
      <c r="AL408" s="226"/>
      <c r="AV408" s="226"/>
      <c r="AW408" s="226"/>
      <c r="BG408" s="226"/>
      <c r="BH408" s="226"/>
      <c r="BR408" s="226"/>
      <c r="BS408" s="226"/>
    </row>
    <row r="409" ht="12.5" spans="15:71">
      <c r="O409" s="226"/>
      <c r="P409" s="226"/>
      <c r="Z409" s="226"/>
      <c r="AA409" s="226"/>
      <c r="AK409" s="226"/>
      <c r="AL409" s="226"/>
      <c r="AV409" s="226"/>
      <c r="AW409" s="226"/>
      <c r="BG409" s="226"/>
      <c r="BH409" s="226"/>
      <c r="BR409" s="226"/>
      <c r="BS409" s="226"/>
    </row>
    <row r="410" ht="12.5" spans="15:71">
      <c r="O410" s="226"/>
      <c r="P410" s="226"/>
      <c r="Z410" s="226"/>
      <c r="AA410" s="226"/>
      <c r="AK410" s="226"/>
      <c r="AL410" s="226"/>
      <c r="AV410" s="226"/>
      <c r="AW410" s="226"/>
      <c r="BG410" s="226"/>
      <c r="BH410" s="226"/>
      <c r="BR410" s="226"/>
      <c r="BS410" s="226"/>
    </row>
    <row r="411" ht="12.5" spans="15:71">
      <c r="O411" s="226"/>
      <c r="P411" s="226"/>
      <c r="Z411" s="226"/>
      <c r="AA411" s="226"/>
      <c r="AK411" s="226"/>
      <c r="AL411" s="226"/>
      <c r="AV411" s="226"/>
      <c r="AW411" s="226"/>
      <c r="BG411" s="226"/>
      <c r="BH411" s="226"/>
      <c r="BR411" s="226"/>
      <c r="BS411" s="226"/>
    </row>
    <row r="412" ht="12.5" spans="15:71">
      <c r="O412" s="226"/>
      <c r="P412" s="226"/>
      <c r="Z412" s="226"/>
      <c r="AA412" s="226"/>
      <c r="AK412" s="226"/>
      <c r="AL412" s="226"/>
      <c r="AV412" s="226"/>
      <c r="AW412" s="226"/>
      <c r="BG412" s="226"/>
      <c r="BH412" s="226"/>
      <c r="BR412" s="226"/>
      <c r="BS412" s="226"/>
    </row>
    <row r="413" ht="12.5" spans="15:71">
      <c r="O413" s="226"/>
      <c r="P413" s="226"/>
      <c r="Z413" s="226"/>
      <c r="AA413" s="226"/>
      <c r="AK413" s="226"/>
      <c r="AL413" s="226"/>
      <c r="AV413" s="226"/>
      <c r="AW413" s="226"/>
      <c r="BG413" s="226"/>
      <c r="BH413" s="226"/>
      <c r="BR413" s="226"/>
      <c r="BS413" s="226"/>
    </row>
    <row r="414" ht="12.5" spans="15:71">
      <c r="O414" s="226"/>
      <c r="P414" s="226"/>
      <c r="Z414" s="226"/>
      <c r="AA414" s="226"/>
      <c r="AK414" s="226"/>
      <c r="AL414" s="226"/>
      <c r="AV414" s="226"/>
      <c r="AW414" s="226"/>
      <c r="BG414" s="226"/>
      <c r="BH414" s="226"/>
      <c r="BR414" s="226"/>
      <c r="BS414" s="226"/>
    </row>
    <row r="415" ht="12.5" spans="15:71">
      <c r="O415" s="226"/>
      <c r="P415" s="226"/>
      <c r="Z415" s="226"/>
      <c r="AA415" s="226"/>
      <c r="AK415" s="226"/>
      <c r="AL415" s="226"/>
      <c r="AV415" s="226"/>
      <c r="AW415" s="226"/>
      <c r="BG415" s="226"/>
      <c r="BH415" s="226"/>
      <c r="BR415" s="226"/>
      <c r="BS415" s="226"/>
    </row>
    <row r="416" ht="12.5" spans="15:71">
      <c r="O416" s="226"/>
      <c r="P416" s="226"/>
      <c r="Z416" s="226"/>
      <c r="AA416" s="226"/>
      <c r="AK416" s="226"/>
      <c r="AL416" s="226"/>
      <c r="AV416" s="226"/>
      <c r="AW416" s="226"/>
      <c r="BG416" s="226"/>
      <c r="BH416" s="226"/>
      <c r="BR416" s="226"/>
      <c r="BS416" s="226"/>
    </row>
    <row r="417" ht="12.5" spans="15:71">
      <c r="O417" s="226"/>
      <c r="P417" s="226"/>
      <c r="Z417" s="226"/>
      <c r="AA417" s="226"/>
      <c r="AK417" s="226"/>
      <c r="AL417" s="226"/>
      <c r="AV417" s="226"/>
      <c r="AW417" s="226"/>
      <c r="BG417" s="226"/>
      <c r="BH417" s="226"/>
      <c r="BR417" s="226"/>
      <c r="BS417" s="226"/>
    </row>
    <row r="418" ht="12.5" spans="15:71">
      <c r="O418" s="226"/>
      <c r="P418" s="226"/>
      <c r="Z418" s="226"/>
      <c r="AA418" s="226"/>
      <c r="AK418" s="226"/>
      <c r="AL418" s="226"/>
      <c r="AV418" s="226"/>
      <c r="AW418" s="226"/>
      <c r="BG418" s="226"/>
      <c r="BH418" s="226"/>
      <c r="BR418" s="226"/>
      <c r="BS418" s="226"/>
    </row>
    <row r="419" ht="12.5" spans="15:71">
      <c r="O419" s="226"/>
      <c r="P419" s="226"/>
      <c r="Z419" s="226"/>
      <c r="AA419" s="226"/>
      <c r="AK419" s="226"/>
      <c r="AL419" s="226"/>
      <c r="AV419" s="226"/>
      <c r="AW419" s="226"/>
      <c r="BG419" s="226"/>
      <c r="BH419" s="226"/>
      <c r="BR419" s="226"/>
      <c r="BS419" s="226"/>
    </row>
    <row r="420" ht="12.5" spans="15:71">
      <c r="O420" s="226"/>
      <c r="P420" s="226"/>
      <c r="Z420" s="226"/>
      <c r="AA420" s="226"/>
      <c r="AK420" s="226"/>
      <c r="AL420" s="226"/>
      <c r="AV420" s="226"/>
      <c r="AW420" s="226"/>
      <c r="BG420" s="226"/>
      <c r="BH420" s="226"/>
      <c r="BR420" s="226"/>
      <c r="BS420" s="226"/>
    </row>
    <row r="421" ht="12.5" spans="15:71">
      <c r="O421" s="226"/>
      <c r="P421" s="226"/>
      <c r="Z421" s="226"/>
      <c r="AA421" s="226"/>
      <c r="AK421" s="226"/>
      <c r="AL421" s="226"/>
      <c r="AV421" s="226"/>
      <c r="AW421" s="226"/>
      <c r="BG421" s="226"/>
      <c r="BH421" s="226"/>
      <c r="BR421" s="226"/>
      <c r="BS421" s="226"/>
    </row>
    <row r="422" ht="12.5" spans="15:71">
      <c r="O422" s="226"/>
      <c r="P422" s="226"/>
      <c r="Z422" s="226"/>
      <c r="AA422" s="226"/>
      <c r="AK422" s="226"/>
      <c r="AL422" s="226"/>
      <c r="AV422" s="226"/>
      <c r="AW422" s="226"/>
      <c r="BG422" s="226"/>
      <c r="BH422" s="226"/>
      <c r="BR422" s="226"/>
      <c r="BS422" s="226"/>
    </row>
    <row r="423" ht="12.5" spans="15:71">
      <c r="O423" s="226"/>
      <c r="P423" s="226"/>
      <c r="Z423" s="226"/>
      <c r="AA423" s="226"/>
      <c r="AK423" s="226"/>
      <c r="AL423" s="226"/>
      <c r="AV423" s="226"/>
      <c r="AW423" s="226"/>
      <c r="BG423" s="226"/>
      <c r="BH423" s="226"/>
      <c r="BR423" s="226"/>
      <c r="BS423" s="226"/>
    </row>
    <row r="424" ht="12.5" spans="15:71">
      <c r="O424" s="226"/>
      <c r="P424" s="226"/>
      <c r="Z424" s="226"/>
      <c r="AA424" s="226"/>
      <c r="AK424" s="226"/>
      <c r="AL424" s="226"/>
      <c r="AV424" s="226"/>
      <c r="AW424" s="226"/>
      <c r="BG424" s="226"/>
      <c r="BH424" s="226"/>
      <c r="BR424" s="226"/>
      <c r="BS424" s="226"/>
    </row>
    <row r="425" ht="12.5" spans="15:71">
      <c r="O425" s="226"/>
      <c r="P425" s="226"/>
      <c r="Z425" s="226"/>
      <c r="AA425" s="226"/>
      <c r="AK425" s="226"/>
      <c r="AL425" s="226"/>
      <c r="AV425" s="226"/>
      <c r="AW425" s="226"/>
      <c r="BG425" s="226"/>
      <c r="BH425" s="226"/>
      <c r="BR425" s="226"/>
      <c r="BS425" s="226"/>
    </row>
    <row r="426" ht="12.5" spans="15:71">
      <c r="O426" s="226"/>
      <c r="P426" s="226"/>
      <c r="Z426" s="226"/>
      <c r="AA426" s="226"/>
      <c r="AK426" s="226"/>
      <c r="AL426" s="226"/>
      <c r="AV426" s="226"/>
      <c r="AW426" s="226"/>
      <c r="BG426" s="226"/>
      <c r="BH426" s="226"/>
      <c r="BR426" s="226"/>
      <c r="BS426" s="226"/>
    </row>
    <row r="427" ht="12.5" spans="15:71">
      <c r="O427" s="226"/>
      <c r="P427" s="226"/>
      <c r="Z427" s="226"/>
      <c r="AA427" s="226"/>
      <c r="AK427" s="226"/>
      <c r="AL427" s="226"/>
      <c r="AV427" s="226"/>
      <c r="AW427" s="226"/>
      <c r="BG427" s="226"/>
      <c r="BH427" s="226"/>
      <c r="BR427" s="226"/>
      <c r="BS427" s="226"/>
    </row>
    <row r="428" ht="12.5" spans="15:71">
      <c r="O428" s="226"/>
      <c r="P428" s="226"/>
      <c r="Z428" s="226"/>
      <c r="AA428" s="226"/>
      <c r="AK428" s="226"/>
      <c r="AL428" s="226"/>
      <c r="AV428" s="226"/>
      <c r="AW428" s="226"/>
      <c r="BG428" s="226"/>
      <c r="BH428" s="226"/>
      <c r="BR428" s="226"/>
      <c r="BS428" s="226"/>
    </row>
    <row r="429" ht="12.5" spans="15:71">
      <c r="O429" s="226"/>
      <c r="P429" s="226"/>
      <c r="Z429" s="226"/>
      <c r="AA429" s="226"/>
      <c r="AK429" s="226"/>
      <c r="AL429" s="226"/>
      <c r="AV429" s="226"/>
      <c r="AW429" s="226"/>
      <c r="BG429" s="226"/>
      <c r="BH429" s="226"/>
      <c r="BR429" s="226"/>
      <c r="BS429" s="226"/>
    </row>
    <row r="430" ht="12.5" spans="15:71">
      <c r="O430" s="226"/>
      <c r="P430" s="226"/>
      <c r="Z430" s="226"/>
      <c r="AA430" s="226"/>
      <c r="AK430" s="226"/>
      <c r="AL430" s="226"/>
      <c r="AV430" s="226"/>
      <c r="AW430" s="226"/>
      <c r="BG430" s="226"/>
      <c r="BH430" s="226"/>
      <c r="BR430" s="226"/>
      <c r="BS430" s="226"/>
    </row>
    <row r="431" ht="12.5" spans="15:71">
      <c r="O431" s="226"/>
      <c r="P431" s="226"/>
      <c r="Z431" s="226"/>
      <c r="AA431" s="226"/>
      <c r="AK431" s="226"/>
      <c r="AL431" s="226"/>
      <c r="AV431" s="226"/>
      <c r="AW431" s="226"/>
      <c r="BG431" s="226"/>
      <c r="BH431" s="226"/>
      <c r="BR431" s="226"/>
      <c r="BS431" s="226"/>
    </row>
    <row r="432" ht="12.5" spans="15:71">
      <c r="O432" s="226"/>
      <c r="P432" s="226"/>
      <c r="Z432" s="226"/>
      <c r="AA432" s="226"/>
      <c r="AK432" s="226"/>
      <c r="AL432" s="226"/>
      <c r="AV432" s="226"/>
      <c r="AW432" s="226"/>
      <c r="BG432" s="226"/>
      <c r="BH432" s="226"/>
      <c r="BR432" s="226"/>
      <c r="BS432" s="226"/>
    </row>
    <row r="433" ht="12.5" spans="15:71">
      <c r="O433" s="226"/>
      <c r="P433" s="226"/>
      <c r="Z433" s="226"/>
      <c r="AA433" s="226"/>
      <c r="AK433" s="226"/>
      <c r="AL433" s="226"/>
      <c r="AV433" s="226"/>
      <c r="AW433" s="226"/>
      <c r="BG433" s="226"/>
      <c r="BH433" s="226"/>
      <c r="BR433" s="226"/>
      <c r="BS433" s="226"/>
    </row>
    <row r="434" ht="12.5" spans="15:71">
      <c r="O434" s="226"/>
      <c r="P434" s="226"/>
      <c r="Z434" s="226"/>
      <c r="AA434" s="226"/>
      <c r="AK434" s="226"/>
      <c r="AL434" s="226"/>
      <c r="AV434" s="226"/>
      <c r="AW434" s="226"/>
      <c r="BG434" s="226"/>
      <c r="BH434" s="226"/>
      <c r="BR434" s="226"/>
      <c r="BS434" s="226"/>
    </row>
    <row r="435" ht="12.5" spans="15:71">
      <c r="O435" s="226"/>
      <c r="P435" s="226"/>
      <c r="Z435" s="226"/>
      <c r="AA435" s="226"/>
      <c r="AK435" s="226"/>
      <c r="AL435" s="226"/>
      <c r="AV435" s="226"/>
      <c r="AW435" s="226"/>
      <c r="BG435" s="226"/>
      <c r="BH435" s="226"/>
      <c r="BR435" s="226"/>
      <c r="BS435" s="226"/>
    </row>
    <row r="436" ht="12.5" spans="15:71">
      <c r="O436" s="226"/>
      <c r="P436" s="226"/>
      <c r="Z436" s="226"/>
      <c r="AA436" s="226"/>
      <c r="AK436" s="226"/>
      <c r="AL436" s="226"/>
      <c r="AV436" s="226"/>
      <c r="AW436" s="226"/>
      <c r="BG436" s="226"/>
      <c r="BH436" s="226"/>
      <c r="BR436" s="226"/>
      <c r="BS436" s="226"/>
    </row>
    <row r="437" ht="12.5" spans="15:71">
      <c r="O437" s="226"/>
      <c r="P437" s="226"/>
      <c r="Z437" s="226"/>
      <c r="AA437" s="226"/>
      <c r="AK437" s="226"/>
      <c r="AL437" s="226"/>
      <c r="AV437" s="226"/>
      <c r="AW437" s="226"/>
      <c r="BG437" s="226"/>
      <c r="BH437" s="226"/>
      <c r="BR437" s="226"/>
      <c r="BS437" s="226"/>
    </row>
    <row r="438" ht="12.5" spans="15:71">
      <c r="O438" s="226"/>
      <c r="P438" s="226"/>
      <c r="Z438" s="226"/>
      <c r="AA438" s="226"/>
      <c r="AK438" s="226"/>
      <c r="AL438" s="226"/>
      <c r="AV438" s="226"/>
      <c r="AW438" s="226"/>
      <c r="BG438" s="226"/>
      <c r="BH438" s="226"/>
      <c r="BR438" s="226"/>
      <c r="BS438" s="226"/>
    </row>
    <row r="439" ht="12.5" spans="15:71">
      <c r="O439" s="226"/>
      <c r="P439" s="226"/>
      <c r="Z439" s="226"/>
      <c r="AA439" s="226"/>
      <c r="AK439" s="226"/>
      <c r="AL439" s="226"/>
      <c r="AV439" s="226"/>
      <c r="AW439" s="226"/>
      <c r="BG439" s="226"/>
      <c r="BH439" s="226"/>
      <c r="BR439" s="226"/>
      <c r="BS439" s="226"/>
    </row>
    <row r="440" ht="12.5" spans="15:71">
      <c r="O440" s="226"/>
      <c r="P440" s="226"/>
      <c r="Z440" s="226"/>
      <c r="AA440" s="226"/>
      <c r="AK440" s="226"/>
      <c r="AL440" s="226"/>
      <c r="AV440" s="226"/>
      <c r="AW440" s="226"/>
      <c r="BG440" s="226"/>
      <c r="BH440" s="226"/>
      <c r="BR440" s="226"/>
      <c r="BS440" s="226"/>
    </row>
    <row r="441" ht="12.5" spans="15:71">
      <c r="O441" s="226"/>
      <c r="P441" s="226"/>
      <c r="Z441" s="226"/>
      <c r="AA441" s="226"/>
      <c r="AK441" s="226"/>
      <c r="AL441" s="226"/>
      <c r="AV441" s="226"/>
      <c r="AW441" s="226"/>
      <c r="BG441" s="226"/>
      <c r="BH441" s="226"/>
      <c r="BR441" s="226"/>
      <c r="BS441" s="226"/>
    </row>
    <row r="442" ht="12.5" spans="15:71">
      <c r="O442" s="226"/>
      <c r="P442" s="226"/>
      <c r="Z442" s="226"/>
      <c r="AA442" s="226"/>
      <c r="AK442" s="226"/>
      <c r="AL442" s="226"/>
      <c r="AV442" s="226"/>
      <c r="AW442" s="226"/>
      <c r="BG442" s="226"/>
      <c r="BH442" s="226"/>
      <c r="BR442" s="226"/>
      <c r="BS442" s="226"/>
    </row>
    <row r="443" ht="12.5" spans="15:71">
      <c r="O443" s="226"/>
      <c r="P443" s="226"/>
      <c r="Z443" s="226"/>
      <c r="AA443" s="226"/>
      <c r="AK443" s="226"/>
      <c r="AL443" s="226"/>
      <c r="AV443" s="226"/>
      <c r="AW443" s="226"/>
      <c r="BG443" s="226"/>
      <c r="BH443" s="226"/>
      <c r="BR443" s="226"/>
      <c r="BS443" s="226"/>
    </row>
    <row r="444" ht="12.5" spans="15:71">
      <c r="O444" s="226"/>
      <c r="P444" s="226"/>
      <c r="Z444" s="226"/>
      <c r="AA444" s="226"/>
      <c r="AK444" s="226"/>
      <c r="AL444" s="226"/>
      <c r="AV444" s="226"/>
      <c r="AW444" s="226"/>
      <c r="BG444" s="226"/>
      <c r="BH444" s="226"/>
      <c r="BR444" s="226"/>
      <c r="BS444" s="226"/>
    </row>
    <row r="445" ht="12.5" spans="15:71">
      <c r="O445" s="226"/>
      <c r="P445" s="226"/>
      <c r="Z445" s="226"/>
      <c r="AA445" s="226"/>
      <c r="AK445" s="226"/>
      <c r="AL445" s="226"/>
      <c r="AV445" s="226"/>
      <c r="AW445" s="226"/>
      <c r="BG445" s="226"/>
      <c r="BH445" s="226"/>
      <c r="BR445" s="226"/>
      <c r="BS445" s="226"/>
    </row>
    <row r="446" ht="12.5" spans="15:71">
      <c r="O446" s="226"/>
      <c r="P446" s="226"/>
      <c r="Z446" s="226"/>
      <c r="AA446" s="226"/>
      <c r="AK446" s="226"/>
      <c r="AL446" s="226"/>
      <c r="AV446" s="226"/>
      <c r="AW446" s="226"/>
      <c r="BG446" s="226"/>
      <c r="BH446" s="226"/>
      <c r="BR446" s="226"/>
      <c r="BS446" s="226"/>
    </row>
    <row r="447" ht="12.5" spans="15:71">
      <c r="O447" s="226"/>
      <c r="P447" s="226"/>
      <c r="Z447" s="226"/>
      <c r="AA447" s="226"/>
      <c r="AK447" s="226"/>
      <c r="AL447" s="226"/>
      <c r="AV447" s="226"/>
      <c r="AW447" s="226"/>
      <c r="BG447" s="226"/>
      <c r="BH447" s="226"/>
      <c r="BR447" s="226"/>
      <c r="BS447" s="226"/>
    </row>
    <row r="448" ht="12.5" spans="15:71">
      <c r="O448" s="226"/>
      <c r="P448" s="226"/>
      <c r="Z448" s="226"/>
      <c r="AA448" s="226"/>
      <c r="AK448" s="226"/>
      <c r="AL448" s="226"/>
      <c r="AV448" s="226"/>
      <c r="AW448" s="226"/>
      <c r="BG448" s="226"/>
      <c r="BH448" s="226"/>
      <c r="BR448" s="226"/>
      <c r="BS448" s="226"/>
    </row>
    <row r="449" ht="12.5" spans="15:71">
      <c r="O449" s="226"/>
      <c r="P449" s="226"/>
      <c r="Z449" s="226"/>
      <c r="AA449" s="226"/>
      <c r="AK449" s="226"/>
      <c r="AL449" s="226"/>
      <c r="AV449" s="226"/>
      <c r="AW449" s="226"/>
      <c r="BG449" s="226"/>
      <c r="BH449" s="226"/>
      <c r="BR449" s="226"/>
      <c r="BS449" s="226"/>
    </row>
    <row r="450" ht="12.5" spans="15:71">
      <c r="O450" s="226"/>
      <c r="P450" s="226"/>
      <c r="Z450" s="226"/>
      <c r="AA450" s="226"/>
      <c r="AK450" s="226"/>
      <c r="AL450" s="226"/>
      <c r="AV450" s="226"/>
      <c r="AW450" s="226"/>
      <c r="BG450" s="226"/>
      <c r="BH450" s="226"/>
      <c r="BR450" s="226"/>
      <c r="BS450" s="226"/>
    </row>
    <row r="451" ht="12.5" spans="15:71">
      <c r="O451" s="226"/>
      <c r="P451" s="226"/>
      <c r="Z451" s="226"/>
      <c r="AA451" s="226"/>
      <c r="AK451" s="226"/>
      <c r="AL451" s="226"/>
      <c r="AV451" s="226"/>
      <c r="AW451" s="226"/>
      <c r="BG451" s="226"/>
      <c r="BH451" s="226"/>
      <c r="BR451" s="226"/>
      <c r="BS451" s="226"/>
    </row>
    <row r="452" ht="12.5" spans="15:71">
      <c r="O452" s="226"/>
      <c r="P452" s="226"/>
      <c r="Z452" s="226"/>
      <c r="AA452" s="226"/>
      <c r="AK452" s="226"/>
      <c r="AL452" s="226"/>
      <c r="AV452" s="226"/>
      <c r="AW452" s="226"/>
      <c r="BG452" s="226"/>
      <c r="BH452" s="226"/>
      <c r="BR452" s="226"/>
      <c r="BS452" s="226"/>
    </row>
    <row r="453" ht="12.5" spans="15:71">
      <c r="O453" s="226"/>
      <c r="P453" s="226"/>
      <c r="Z453" s="226"/>
      <c r="AA453" s="226"/>
      <c r="AK453" s="226"/>
      <c r="AL453" s="226"/>
      <c r="AV453" s="226"/>
      <c r="AW453" s="226"/>
      <c r="BG453" s="226"/>
      <c r="BH453" s="226"/>
      <c r="BR453" s="226"/>
      <c r="BS453" s="226"/>
    </row>
    <row r="454" ht="12.5" spans="15:71">
      <c r="O454" s="226"/>
      <c r="P454" s="226"/>
      <c r="Z454" s="226"/>
      <c r="AA454" s="226"/>
      <c r="AK454" s="226"/>
      <c r="AL454" s="226"/>
      <c r="AV454" s="226"/>
      <c r="AW454" s="226"/>
      <c r="BG454" s="226"/>
      <c r="BH454" s="226"/>
      <c r="BR454" s="226"/>
      <c r="BS454" s="226"/>
    </row>
    <row r="455" ht="12.5" spans="15:71">
      <c r="O455" s="226"/>
      <c r="P455" s="226"/>
      <c r="Z455" s="226"/>
      <c r="AA455" s="226"/>
      <c r="AK455" s="226"/>
      <c r="AL455" s="226"/>
      <c r="AV455" s="226"/>
      <c r="AW455" s="226"/>
      <c r="BG455" s="226"/>
      <c r="BH455" s="226"/>
      <c r="BR455" s="226"/>
      <c r="BS455" s="226"/>
    </row>
    <row r="456" ht="12.5" spans="15:71">
      <c r="O456" s="226"/>
      <c r="P456" s="226"/>
      <c r="Z456" s="226"/>
      <c r="AA456" s="226"/>
      <c r="AK456" s="226"/>
      <c r="AL456" s="226"/>
      <c r="AV456" s="226"/>
      <c r="AW456" s="226"/>
      <c r="BG456" s="226"/>
      <c r="BH456" s="226"/>
      <c r="BR456" s="226"/>
      <c r="BS456" s="226"/>
    </row>
    <row r="457" ht="12.5" spans="15:71">
      <c r="O457" s="226"/>
      <c r="P457" s="226"/>
      <c r="Z457" s="226"/>
      <c r="AA457" s="226"/>
      <c r="AK457" s="226"/>
      <c r="AL457" s="226"/>
      <c r="AV457" s="226"/>
      <c r="AW457" s="226"/>
      <c r="BG457" s="226"/>
      <c r="BH457" s="226"/>
      <c r="BR457" s="226"/>
      <c r="BS457" s="226"/>
    </row>
    <row r="458" ht="12.5" spans="15:71">
      <c r="O458" s="226"/>
      <c r="P458" s="226"/>
      <c r="Z458" s="226"/>
      <c r="AA458" s="226"/>
      <c r="AK458" s="226"/>
      <c r="AL458" s="226"/>
      <c r="AV458" s="226"/>
      <c r="AW458" s="226"/>
      <c r="BG458" s="226"/>
      <c r="BH458" s="226"/>
      <c r="BR458" s="226"/>
      <c r="BS458" s="226"/>
    </row>
    <row r="459" ht="12.5" spans="15:71">
      <c r="O459" s="226"/>
      <c r="P459" s="226"/>
      <c r="Z459" s="226"/>
      <c r="AA459" s="226"/>
      <c r="AK459" s="226"/>
      <c r="AL459" s="226"/>
      <c r="AV459" s="226"/>
      <c r="AW459" s="226"/>
      <c r="BG459" s="226"/>
      <c r="BH459" s="226"/>
      <c r="BR459" s="226"/>
      <c r="BS459" s="226"/>
    </row>
    <row r="460" ht="12.5" spans="15:71">
      <c r="O460" s="226"/>
      <c r="P460" s="226"/>
      <c r="Z460" s="226"/>
      <c r="AA460" s="226"/>
      <c r="AK460" s="226"/>
      <c r="AL460" s="226"/>
      <c r="AV460" s="226"/>
      <c r="AW460" s="226"/>
      <c r="BG460" s="226"/>
      <c r="BH460" s="226"/>
      <c r="BR460" s="226"/>
      <c r="BS460" s="226"/>
    </row>
    <row r="461" ht="12.5" spans="15:71">
      <c r="O461" s="226"/>
      <c r="P461" s="226"/>
      <c r="Z461" s="226"/>
      <c r="AA461" s="226"/>
      <c r="AK461" s="226"/>
      <c r="AL461" s="226"/>
      <c r="AV461" s="226"/>
      <c r="AW461" s="226"/>
      <c r="BG461" s="226"/>
      <c r="BH461" s="226"/>
      <c r="BR461" s="226"/>
      <c r="BS461" s="226"/>
    </row>
    <row r="462" ht="12.5" spans="15:71">
      <c r="O462" s="226"/>
      <c r="P462" s="226"/>
      <c r="Z462" s="226"/>
      <c r="AA462" s="226"/>
      <c r="AK462" s="226"/>
      <c r="AL462" s="226"/>
      <c r="AV462" s="226"/>
      <c r="AW462" s="226"/>
      <c r="BG462" s="226"/>
      <c r="BH462" s="226"/>
      <c r="BR462" s="226"/>
      <c r="BS462" s="226"/>
    </row>
    <row r="463" ht="12.5" spans="15:71">
      <c r="O463" s="226"/>
      <c r="P463" s="226"/>
      <c r="Z463" s="226"/>
      <c r="AA463" s="226"/>
      <c r="AK463" s="226"/>
      <c r="AL463" s="226"/>
      <c r="AV463" s="226"/>
      <c r="AW463" s="226"/>
      <c r="BG463" s="226"/>
      <c r="BH463" s="226"/>
      <c r="BR463" s="226"/>
      <c r="BS463" s="226"/>
    </row>
    <row r="464" ht="12.5" spans="15:71">
      <c r="O464" s="226"/>
      <c r="P464" s="226"/>
      <c r="Z464" s="226"/>
      <c r="AA464" s="226"/>
      <c r="AK464" s="226"/>
      <c r="AL464" s="226"/>
      <c r="AV464" s="226"/>
      <c r="AW464" s="226"/>
      <c r="BG464" s="226"/>
      <c r="BH464" s="226"/>
      <c r="BR464" s="226"/>
      <c r="BS464" s="226"/>
    </row>
    <row r="465" ht="12.5" spans="15:71">
      <c r="O465" s="226"/>
      <c r="P465" s="226"/>
      <c r="Z465" s="226"/>
      <c r="AA465" s="226"/>
      <c r="AK465" s="226"/>
      <c r="AL465" s="226"/>
      <c r="AV465" s="226"/>
      <c r="AW465" s="226"/>
      <c r="BG465" s="226"/>
      <c r="BH465" s="226"/>
      <c r="BR465" s="226"/>
      <c r="BS465" s="226"/>
    </row>
    <row r="466" ht="12.5" spans="15:71">
      <c r="O466" s="226"/>
      <c r="P466" s="226"/>
      <c r="Z466" s="226"/>
      <c r="AA466" s="226"/>
      <c r="AK466" s="226"/>
      <c r="AL466" s="226"/>
      <c r="AV466" s="226"/>
      <c r="AW466" s="226"/>
      <c r="BG466" s="226"/>
      <c r="BH466" s="226"/>
      <c r="BR466" s="226"/>
      <c r="BS466" s="226"/>
    </row>
    <row r="467" ht="12.5" spans="15:71">
      <c r="O467" s="226"/>
      <c r="P467" s="226"/>
      <c r="Z467" s="226"/>
      <c r="AA467" s="226"/>
      <c r="AK467" s="226"/>
      <c r="AL467" s="226"/>
      <c r="AV467" s="226"/>
      <c r="AW467" s="226"/>
      <c r="BG467" s="226"/>
      <c r="BH467" s="226"/>
      <c r="BR467" s="226"/>
      <c r="BS467" s="226"/>
    </row>
    <row r="468" ht="12.5" spans="15:71">
      <c r="O468" s="226"/>
      <c r="P468" s="226"/>
      <c r="Z468" s="226"/>
      <c r="AA468" s="226"/>
      <c r="AK468" s="226"/>
      <c r="AL468" s="226"/>
      <c r="AV468" s="226"/>
      <c r="AW468" s="226"/>
      <c r="BG468" s="226"/>
      <c r="BH468" s="226"/>
      <c r="BR468" s="226"/>
      <c r="BS468" s="226"/>
    </row>
    <row r="469" ht="12.5" spans="15:71">
      <c r="O469" s="226"/>
      <c r="P469" s="226"/>
      <c r="Z469" s="226"/>
      <c r="AA469" s="226"/>
      <c r="AK469" s="226"/>
      <c r="AL469" s="226"/>
      <c r="AV469" s="226"/>
      <c r="AW469" s="226"/>
      <c r="BG469" s="226"/>
      <c r="BH469" s="226"/>
      <c r="BR469" s="226"/>
      <c r="BS469" s="226"/>
    </row>
    <row r="470" ht="12.5" spans="15:71">
      <c r="O470" s="226"/>
      <c r="P470" s="226"/>
      <c r="Z470" s="226"/>
      <c r="AA470" s="226"/>
      <c r="AK470" s="226"/>
      <c r="AL470" s="226"/>
      <c r="AV470" s="226"/>
      <c r="AW470" s="226"/>
      <c r="BG470" s="226"/>
      <c r="BH470" s="226"/>
      <c r="BR470" s="226"/>
      <c r="BS470" s="226"/>
    </row>
    <row r="471" ht="12.5" spans="15:71">
      <c r="O471" s="226"/>
      <c r="P471" s="226"/>
      <c r="Z471" s="226"/>
      <c r="AA471" s="226"/>
      <c r="AK471" s="226"/>
      <c r="AL471" s="226"/>
      <c r="AV471" s="226"/>
      <c r="AW471" s="226"/>
      <c r="BG471" s="226"/>
      <c r="BH471" s="226"/>
      <c r="BR471" s="226"/>
      <c r="BS471" s="226"/>
    </row>
    <row r="472" ht="12.5" spans="15:71">
      <c r="O472" s="226"/>
      <c r="P472" s="226"/>
      <c r="Z472" s="226"/>
      <c r="AA472" s="226"/>
      <c r="AK472" s="226"/>
      <c r="AL472" s="226"/>
      <c r="AV472" s="226"/>
      <c r="AW472" s="226"/>
      <c r="BG472" s="226"/>
      <c r="BH472" s="226"/>
      <c r="BR472" s="226"/>
      <c r="BS472" s="226"/>
    </row>
    <row r="473" ht="12.5" spans="15:71">
      <c r="O473" s="226"/>
      <c r="P473" s="226"/>
      <c r="Z473" s="226"/>
      <c r="AA473" s="226"/>
      <c r="AK473" s="226"/>
      <c r="AL473" s="226"/>
      <c r="AV473" s="226"/>
      <c r="AW473" s="226"/>
      <c r="BG473" s="226"/>
      <c r="BH473" s="226"/>
      <c r="BR473" s="226"/>
      <c r="BS473" s="226"/>
    </row>
    <row r="474" ht="12.5" spans="15:71">
      <c r="O474" s="226"/>
      <c r="P474" s="226"/>
      <c r="Z474" s="226"/>
      <c r="AA474" s="226"/>
      <c r="AK474" s="226"/>
      <c r="AL474" s="226"/>
      <c r="AV474" s="226"/>
      <c r="AW474" s="226"/>
      <c r="BG474" s="226"/>
      <c r="BH474" s="226"/>
      <c r="BR474" s="226"/>
      <c r="BS474" s="226"/>
    </row>
    <row r="475" ht="12.5" spans="15:71">
      <c r="O475" s="226"/>
      <c r="P475" s="226"/>
      <c r="Z475" s="226"/>
      <c r="AA475" s="226"/>
      <c r="AK475" s="226"/>
      <c r="AL475" s="226"/>
      <c r="AV475" s="226"/>
      <c r="AW475" s="226"/>
      <c r="BG475" s="226"/>
      <c r="BH475" s="226"/>
      <c r="BR475" s="226"/>
      <c r="BS475" s="226"/>
    </row>
    <row r="476" ht="12.5" spans="15:71">
      <c r="O476" s="226"/>
      <c r="P476" s="226"/>
      <c r="Z476" s="226"/>
      <c r="AA476" s="226"/>
      <c r="AK476" s="226"/>
      <c r="AL476" s="226"/>
      <c r="AV476" s="226"/>
      <c r="AW476" s="226"/>
      <c r="BG476" s="226"/>
      <c r="BH476" s="226"/>
      <c r="BR476" s="226"/>
      <c r="BS476" s="226"/>
    </row>
    <row r="477" ht="12.5" spans="15:71">
      <c r="O477" s="226"/>
      <c r="P477" s="226"/>
      <c r="Z477" s="226"/>
      <c r="AA477" s="226"/>
      <c r="AK477" s="226"/>
      <c r="AL477" s="226"/>
      <c r="AV477" s="226"/>
      <c r="AW477" s="226"/>
      <c r="BG477" s="226"/>
      <c r="BH477" s="226"/>
      <c r="BR477" s="226"/>
      <c r="BS477" s="226"/>
    </row>
    <row r="478" ht="12.5" spans="15:71">
      <c r="O478" s="226"/>
      <c r="P478" s="226"/>
      <c r="Z478" s="226"/>
      <c r="AA478" s="226"/>
      <c r="AK478" s="226"/>
      <c r="AL478" s="226"/>
      <c r="AV478" s="226"/>
      <c r="AW478" s="226"/>
      <c r="BG478" s="226"/>
      <c r="BH478" s="226"/>
      <c r="BR478" s="226"/>
      <c r="BS478" s="226"/>
    </row>
    <row r="479" ht="12.5" spans="15:71">
      <c r="O479" s="226"/>
      <c r="P479" s="226"/>
      <c r="Z479" s="226"/>
      <c r="AA479" s="226"/>
      <c r="AK479" s="226"/>
      <c r="AL479" s="226"/>
      <c r="AV479" s="226"/>
      <c r="AW479" s="226"/>
      <c r="BG479" s="226"/>
      <c r="BH479" s="226"/>
      <c r="BR479" s="226"/>
      <c r="BS479" s="226"/>
    </row>
    <row r="480" ht="12.5" spans="15:71">
      <c r="O480" s="226"/>
      <c r="P480" s="226"/>
      <c r="Z480" s="226"/>
      <c r="AA480" s="226"/>
      <c r="AK480" s="226"/>
      <c r="AL480" s="226"/>
      <c r="AV480" s="226"/>
      <c r="AW480" s="226"/>
      <c r="BG480" s="226"/>
      <c r="BH480" s="226"/>
      <c r="BR480" s="226"/>
      <c r="BS480" s="226"/>
    </row>
    <row r="481" ht="12.5" spans="15:71">
      <c r="O481" s="226"/>
      <c r="P481" s="226"/>
      <c r="Z481" s="226"/>
      <c r="AA481" s="226"/>
      <c r="AK481" s="226"/>
      <c r="AL481" s="226"/>
      <c r="AV481" s="226"/>
      <c r="AW481" s="226"/>
      <c r="BG481" s="226"/>
      <c r="BH481" s="226"/>
      <c r="BR481" s="226"/>
      <c r="BS481" s="226"/>
    </row>
    <row r="482" ht="12.5" spans="15:71">
      <c r="O482" s="226"/>
      <c r="P482" s="226"/>
      <c r="Z482" s="226"/>
      <c r="AA482" s="226"/>
      <c r="AK482" s="226"/>
      <c r="AL482" s="226"/>
      <c r="AV482" s="226"/>
      <c r="AW482" s="226"/>
      <c r="BG482" s="226"/>
      <c r="BH482" s="226"/>
      <c r="BR482" s="226"/>
      <c r="BS482" s="226"/>
    </row>
    <row r="483" ht="12.5" spans="15:71">
      <c r="O483" s="226"/>
      <c r="P483" s="226"/>
      <c r="Z483" s="226"/>
      <c r="AA483" s="226"/>
      <c r="AK483" s="226"/>
      <c r="AL483" s="226"/>
      <c r="AV483" s="226"/>
      <c r="AW483" s="226"/>
      <c r="BG483" s="226"/>
      <c r="BH483" s="226"/>
      <c r="BR483" s="226"/>
      <c r="BS483" s="226"/>
    </row>
    <row r="484" ht="12.5" spans="15:71">
      <c r="O484" s="226"/>
      <c r="P484" s="226"/>
      <c r="Z484" s="226"/>
      <c r="AA484" s="226"/>
      <c r="AK484" s="226"/>
      <c r="AL484" s="226"/>
      <c r="AV484" s="226"/>
      <c r="AW484" s="226"/>
      <c r="BG484" s="226"/>
      <c r="BH484" s="226"/>
      <c r="BR484" s="226"/>
      <c r="BS484" s="226"/>
    </row>
    <row r="485" ht="12.5" spans="15:71">
      <c r="O485" s="226"/>
      <c r="P485" s="226"/>
      <c r="Z485" s="226"/>
      <c r="AA485" s="226"/>
      <c r="AK485" s="226"/>
      <c r="AL485" s="226"/>
      <c r="AV485" s="226"/>
      <c r="AW485" s="226"/>
      <c r="BG485" s="226"/>
      <c r="BH485" s="226"/>
      <c r="BR485" s="226"/>
      <c r="BS485" s="226"/>
    </row>
    <row r="486" ht="12.5" spans="15:71">
      <c r="O486" s="226"/>
      <c r="P486" s="226"/>
      <c r="Z486" s="226"/>
      <c r="AA486" s="226"/>
      <c r="AK486" s="226"/>
      <c r="AL486" s="226"/>
      <c r="AV486" s="226"/>
      <c r="AW486" s="226"/>
      <c r="BG486" s="226"/>
      <c r="BH486" s="226"/>
      <c r="BR486" s="226"/>
      <c r="BS486" s="226"/>
    </row>
    <row r="487" ht="12.5" spans="15:71">
      <c r="O487" s="226"/>
      <c r="P487" s="226"/>
      <c r="Z487" s="226"/>
      <c r="AA487" s="226"/>
      <c r="AK487" s="226"/>
      <c r="AL487" s="226"/>
      <c r="AV487" s="226"/>
      <c r="AW487" s="226"/>
      <c r="BG487" s="226"/>
      <c r="BH487" s="226"/>
      <c r="BR487" s="226"/>
      <c r="BS487" s="226"/>
    </row>
    <row r="488" ht="12.5" spans="15:71">
      <c r="O488" s="226"/>
      <c r="P488" s="226"/>
      <c r="Z488" s="226"/>
      <c r="AA488" s="226"/>
      <c r="AK488" s="226"/>
      <c r="AL488" s="226"/>
      <c r="AV488" s="226"/>
      <c r="AW488" s="226"/>
      <c r="BG488" s="226"/>
      <c r="BH488" s="226"/>
      <c r="BR488" s="226"/>
      <c r="BS488" s="226"/>
    </row>
    <row r="489" ht="12.5" spans="15:71">
      <c r="O489" s="226"/>
      <c r="P489" s="226"/>
      <c r="Z489" s="226"/>
      <c r="AA489" s="226"/>
      <c r="AK489" s="226"/>
      <c r="AL489" s="226"/>
      <c r="AV489" s="226"/>
      <c r="AW489" s="226"/>
      <c r="BG489" s="226"/>
      <c r="BH489" s="226"/>
      <c r="BR489" s="226"/>
      <c r="BS489" s="226"/>
    </row>
    <row r="490" ht="12.5" spans="15:71">
      <c r="O490" s="226"/>
      <c r="P490" s="226"/>
      <c r="Z490" s="226"/>
      <c r="AA490" s="226"/>
      <c r="AK490" s="226"/>
      <c r="AL490" s="226"/>
      <c r="AV490" s="226"/>
      <c r="AW490" s="226"/>
      <c r="BG490" s="226"/>
      <c r="BH490" s="226"/>
      <c r="BR490" s="226"/>
      <c r="BS490" s="226"/>
    </row>
    <row r="491" ht="12.5" spans="15:71">
      <c r="O491" s="226"/>
      <c r="P491" s="226"/>
      <c r="Z491" s="226"/>
      <c r="AA491" s="226"/>
      <c r="AK491" s="226"/>
      <c r="AL491" s="226"/>
      <c r="AV491" s="226"/>
      <c r="AW491" s="226"/>
      <c r="BG491" s="226"/>
      <c r="BH491" s="226"/>
      <c r="BR491" s="226"/>
      <c r="BS491" s="226"/>
    </row>
    <row r="492" ht="12.5" spans="15:71">
      <c r="O492" s="226"/>
      <c r="P492" s="226"/>
      <c r="Z492" s="226"/>
      <c r="AA492" s="226"/>
      <c r="AK492" s="226"/>
      <c r="AL492" s="226"/>
      <c r="AV492" s="226"/>
      <c r="AW492" s="226"/>
      <c r="BG492" s="226"/>
      <c r="BH492" s="226"/>
      <c r="BR492" s="226"/>
      <c r="BS492" s="226"/>
    </row>
    <row r="493" ht="12.5" spans="15:71">
      <c r="O493" s="226"/>
      <c r="P493" s="226"/>
      <c r="Z493" s="226"/>
      <c r="AA493" s="226"/>
      <c r="AK493" s="226"/>
      <c r="AL493" s="226"/>
      <c r="AV493" s="226"/>
      <c r="AW493" s="226"/>
      <c r="BG493" s="226"/>
      <c r="BH493" s="226"/>
      <c r="BR493" s="226"/>
      <c r="BS493" s="226"/>
    </row>
    <row r="494" ht="12.5" spans="15:71">
      <c r="O494" s="226"/>
      <c r="P494" s="226"/>
      <c r="Z494" s="226"/>
      <c r="AA494" s="226"/>
      <c r="AK494" s="226"/>
      <c r="AL494" s="226"/>
      <c r="AV494" s="226"/>
      <c r="AW494" s="226"/>
      <c r="BG494" s="226"/>
      <c r="BH494" s="226"/>
      <c r="BR494" s="226"/>
      <c r="BS494" s="226"/>
    </row>
    <row r="495" ht="12.5" spans="15:71">
      <c r="O495" s="226"/>
      <c r="P495" s="226"/>
      <c r="Z495" s="226"/>
      <c r="AA495" s="226"/>
      <c r="AK495" s="226"/>
      <c r="AL495" s="226"/>
      <c r="AV495" s="226"/>
      <c r="AW495" s="226"/>
      <c r="BG495" s="226"/>
      <c r="BH495" s="226"/>
      <c r="BR495" s="226"/>
      <c r="BS495" s="226"/>
    </row>
    <row r="496" ht="12.5" spans="15:71">
      <c r="O496" s="226"/>
      <c r="P496" s="226"/>
      <c r="Z496" s="226"/>
      <c r="AA496" s="226"/>
      <c r="AK496" s="226"/>
      <c r="AL496" s="226"/>
      <c r="AV496" s="226"/>
      <c r="AW496" s="226"/>
      <c r="BG496" s="226"/>
      <c r="BH496" s="226"/>
      <c r="BR496" s="226"/>
      <c r="BS496" s="226"/>
    </row>
    <row r="497" ht="12.5" spans="15:71">
      <c r="O497" s="226"/>
      <c r="P497" s="226"/>
      <c r="Z497" s="226"/>
      <c r="AA497" s="226"/>
      <c r="AK497" s="226"/>
      <c r="AL497" s="226"/>
      <c r="AV497" s="226"/>
      <c r="AW497" s="226"/>
      <c r="BG497" s="226"/>
      <c r="BH497" s="226"/>
      <c r="BR497" s="226"/>
      <c r="BS497" s="226"/>
    </row>
    <row r="498" ht="12.5" spans="15:71">
      <c r="O498" s="226"/>
      <c r="P498" s="226"/>
      <c r="Z498" s="226"/>
      <c r="AA498" s="226"/>
      <c r="AK498" s="226"/>
      <c r="AL498" s="226"/>
      <c r="AV498" s="226"/>
      <c r="AW498" s="226"/>
      <c r="BG498" s="226"/>
      <c r="BH498" s="226"/>
      <c r="BR498" s="226"/>
      <c r="BS498" s="226"/>
    </row>
    <row r="499" ht="12.5" spans="15:71">
      <c r="O499" s="226"/>
      <c r="P499" s="226"/>
      <c r="Z499" s="226"/>
      <c r="AA499" s="226"/>
      <c r="AK499" s="226"/>
      <c r="AL499" s="226"/>
      <c r="AV499" s="226"/>
      <c r="AW499" s="226"/>
      <c r="BG499" s="226"/>
      <c r="BH499" s="226"/>
      <c r="BR499" s="226"/>
      <c r="BS499" s="226"/>
    </row>
    <row r="500" ht="12.5" spans="15:71">
      <c r="O500" s="226"/>
      <c r="P500" s="226"/>
      <c r="Z500" s="226"/>
      <c r="AA500" s="226"/>
      <c r="AK500" s="226"/>
      <c r="AL500" s="226"/>
      <c r="AV500" s="226"/>
      <c r="AW500" s="226"/>
      <c r="BG500" s="226"/>
      <c r="BH500" s="226"/>
      <c r="BR500" s="226"/>
      <c r="BS500" s="226"/>
    </row>
    <row r="501" ht="12.5" spans="15:71">
      <c r="O501" s="226"/>
      <c r="P501" s="226"/>
      <c r="Z501" s="226"/>
      <c r="AA501" s="226"/>
      <c r="AK501" s="226"/>
      <c r="AL501" s="226"/>
      <c r="AV501" s="226"/>
      <c r="AW501" s="226"/>
      <c r="BG501" s="226"/>
      <c r="BH501" s="226"/>
      <c r="BR501" s="226"/>
      <c r="BS501" s="226"/>
    </row>
    <row r="502" ht="12.5" spans="15:71">
      <c r="O502" s="226"/>
      <c r="P502" s="226"/>
      <c r="Z502" s="226"/>
      <c r="AA502" s="226"/>
      <c r="AK502" s="226"/>
      <c r="AL502" s="226"/>
      <c r="AV502" s="226"/>
      <c r="AW502" s="226"/>
      <c r="BG502" s="226"/>
      <c r="BH502" s="226"/>
      <c r="BR502" s="226"/>
      <c r="BS502" s="226"/>
    </row>
    <row r="503" ht="12.5" spans="15:71">
      <c r="O503" s="226"/>
      <c r="P503" s="226"/>
      <c r="Z503" s="226"/>
      <c r="AA503" s="226"/>
      <c r="AK503" s="226"/>
      <c r="AL503" s="226"/>
      <c r="AV503" s="226"/>
      <c r="AW503" s="226"/>
      <c r="BG503" s="226"/>
      <c r="BH503" s="226"/>
      <c r="BR503" s="226"/>
      <c r="BS503" s="226"/>
    </row>
    <row r="504" ht="12.5" spans="15:71">
      <c r="O504" s="226"/>
      <c r="P504" s="226"/>
      <c r="Z504" s="226"/>
      <c r="AA504" s="226"/>
      <c r="AK504" s="226"/>
      <c r="AL504" s="226"/>
      <c r="AV504" s="226"/>
      <c r="AW504" s="226"/>
      <c r="BG504" s="226"/>
      <c r="BH504" s="226"/>
      <c r="BR504" s="226"/>
      <c r="BS504" s="226"/>
    </row>
    <row r="505" ht="12.5" spans="15:71">
      <c r="O505" s="226"/>
      <c r="P505" s="226"/>
      <c r="Z505" s="226"/>
      <c r="AA505" s="226"/>
      <c r="AK505" s="226"/>
      <c r="AL505" s="226"/>
      <c r="AV505" s="226"/>
      <c r="AW505" s="226"/>
      <c r="BG505" s="226"/>
      <c r="BH505" s="226"/>
      <c r="BR505" s="226"/>
      <c r="BS505" s="226"/>
    </row>
    <row r="506" ht="12.5" spans="15:71">
      <c r="O506" s="226"/>
      <c r="P506" s="226"/>
      <c r="Z506" s="226"/>
      <c r="AA506" s="226"/>
      <c r="AK506" s="226"/>
      <c r="AL506" s="226"/>
      <c r="AV506" s="226"/>
      <c r="AW506" s="226"/>
      <c r="BG506" s="226"/>
      <c r="BH506" s="226"/>
      <c r="BR506" s="226"/>
      <c r="BS506" s="226"/>
    </row>
    <row r="507" ht="12.5" spans="15:71">
      <c r="O507" s="226"/>
      <c r="P507" s="226"/>
      <c r="Z507" s="226"/>
      <c r="AA507" s="226"/>
      <c r="AK507" s="226"/>
      <c r="AL507" s="226"/>
      <c r="AV507" s="226"/>
      <c r="AW507" s="226"/>
      <c r="BG507" s="226"/>
      <c r="BH507" s="226"/>
      <c r="BR507" s="226"/>
      <c r="BS507" s="226"/>
    </row>
    <row r="508" ht="12.5" spans="15:71">
      <c r="O508" s="226"/>
      <c r="P508" s="226"/>
      <c r="Z508" s="226"/>
      <c r="AA508" s="226"/>
      <c r="AK508" s="226"/>
      <c r="AL508" s="226"/>
      <c r="AV508" s="226"/>
      <c r="AW508" s="226"/>
      <c r="BG508" s="226"/>
      <c r="BH508" s="226"/>
      <c r="BR508" s="226"/>
      <c r="BS508" s="226"/>
    </row>
    <row r="509" ht="12.5" spans="15:71">
      <c r="O509" s="226"/>
      <c r="P509" s="226"/>
      <c r="Z509" s="226"/>
      <c r="AA509" s="226"/>
      <c r="AK509" s="226"/>
      <c r="AL509" s="226"/>
      <c r="AV509" s="226"/>
      <c r="AW509" s="226"/>
      <c r="BG509" s="226"/>
      <c r="BH509" s="226"/>
      <c r="BR509" s="226"/>
      <c r="BS509" s="226"/>
    </row>
    <row r="510" ht="12.5" spans="15:71">
      <c r="O510" s="226"/>
      <c r="P510" s="226"/>
      <c r="Z510" s="226"/>
      <c r="AA510" s="226"/>
      <c r="AK510" s="226"/>
      <c r="AL510" s="226"/>
      <c r="AV510" s="226"/>
      <c r="AW510" s="226"/>
      <c r="BG510" s="226"/>
      <c r="BH510" s="226"/>
      <c r="BR510" s="226"/>
      <c r="BS510" s="226"/>
    </row>
    <row r="511" ht="12.5" spans="15:71">
      <c r="O511" s="226"/>
      <c r="P511" s="226"/>
      <c r="Z511" s="226"/>
      <c r="AA511" s="226"/>
      <c r="AK511" s="226"/>
      <c r="AL511" s="226"/>
      <c r="AV511" s="226"/>
      <c r="AW511" s="226"/>
      <c r="BG511" s="226"/>
      <c r="BH511" s="226"/>
      <c r="BR511" s="226"/>
      <c r="BS511" s="226"/>
    </row>
    <row r="512" ht="12.5" spans="15:71">
      <c r="O512" s="226"/>
      <c r="P512" s="226"/>
      <c r="Z512" s="226"/>
      <c r="AA512" s="226"/>
      <c r="AK512" s="226"/>
      <c r="AL512" s="226"/>
      <c r="AV512" s="226"/>
      <c r="AW512" s="226"/>
      <c r="BG512" s="226"/>
      <c r="BH512" s="226"/>
      <c r="BR512" s="226"/>
      <c r="BS512" s="226"/>
    </row>
    <row r="513" ht="12.5" spans="15:71">
      <c r="O513" s="226"/>
      <c r="P513" s="226"/>
      <c r="Z513" s="226"/>
      <c r="AA513" s="226"/>
      <c r="AK513" s="226"/>
      <c r="AL513" s="226"/>
      <c r="AV513" s="226"/>
      <c r="AW513" s="226"/>
      <c r="BG513" s="226"/>
      <c r="BH513" s="226"/>
      <c r="BR513" s="226"/>
      <c r="BS513" s="226"/>
    </row>
    <row r="514" ht="12.5" spans="15:71">
      <c r="O514" s="226"/>
      <c r="P514" s="226"/>
      <c r="Z514" s="226"/>
      <c r="AA514" s="226"/>
      <c r="AK514" s="226"/>
      <c r="AL514" s="226"/>
      <c r="AV514" s="226"/>
      <c r="AW514" s="226"/>
      <c r="BG514" s="226"/>
      <c r="BH514" s="226"/>
      <c r="BR514" s="226"/>
      <c r="BS514" s="226"/>
    </row>
    <row r="515" ht="12.5" spans="15:71">
      <c r="O515" s="226"/>
      <c r="P515" s="226"/>
      <c r="Z515" s="226"/>
      <c r="AA515" s="226"/>
      <c r="AK515" s="226"/>
      <c r="AL515" s="226"/>
      <c r="AV515" s="226"/>
      <c r="AW515" s="226"/>
      <c r="BG515" s="226"/>
      <c r="BH515" s="226"/>
      <c r="BR515" s="226"/>
      <c r="BS515" s="226"/>
    </row>
    <row r="516" ht="12.5" spans="15:71">
      <c r="O516" s="226"/>
      <c r="P516" s="226"/>
      <c r="Z516" s="226"/>
      <c r="AA516" s="226"/>
      <c r="AK516" s="226"/>
      <c r="AL516" s="226"/>
      <c r="AV516" s="226"/>
      <c r="AW516" s="226"/>
      <c r="BG516" s="226"/>
      <c r="BH516" s="226"/>
      <c r="BR516" s="226"/>
      <c r="BS516" s="226"/>
    </row>
    <row r="517" ht="12.5" spans="15:71">
      <c r="O517" s="226"/>
      <c r="P517" s="226"/>
      <c r="Z517" s="226"/>
      <c r="AA517" s="226"/>
      <c r="AK517" s="226"/>
      <c r="AL517" s="226"/>
      <c r="AV517" s="226"/>
      <c r="AW517" s="226"/>
      <c r="BG517" s="226"/>
      <c r="BH517" s="226"/>
      <c r="BR517" s="226"/>
      <c r="BS517" s="226"/>
    </row>
    <row r="518" ht="12.5" spans="15:71">
      <c r="O518" s="226"/>
      <c r="P518" s="226"/>
      <c r="Z518" s="226"/>
      <c r="AA518" s="226"/>
      <c r="AK518" s="226"/>
      <c r="AL518" s="226"/>
      <c r="AV518" s="226"/>
      <c r="AW518" s="226"/>
      <c r="BG518" s="226"/>
      <c r="BH518" s="226"/>
      <c r="BR518" s="226"/>
      <c r="BS518" s="226"/>
    </row>
    <row r="519" ht="12.5" spans="15:71">
      <c r="O519" s="226"/>
      <c r="P519" s="226"/>
      <c r="Z519" s="226"/>
      <c r="AA519" s="226"/>
      <c r="AK519" s="226"/>
      <c r="AL519" s="226"/>
      <c r="AV519" s="226"/>
      <c r="AW519" s="226"/>
      <c r="BG519" s="226"/>
      <c r="BH519" s="226"/>
      <c r="BR519" s="226"/>
      <c r="BS519" s="226"/>
    </row>
    <row r="520" ht="12.5" spans="15:71">
      <c r="O520" s="226"/>
      <c r="P520" s="226"/>
      <c r="Z520" s="226"/>
      <c r="AA520" s="226"/>
      <c r="AK520" s="226"/>
      <c r="AL520" s="226"/>
      <c r="AV520" s="226"/>
      <c r="AW520" s="226"/>
      <c r="BG520" s="226"/>
      <c r="BH520" s="226"/>
      <c r="BR520" s="226"/>
      <c r="BS520" s="226"/>
    </row>
    <row r="521" ht="12.5" spans="15:71">
      <c r="O521" s="226"/>
      <c r="P521" s="226"/>
      <c r="Z521" s="226"/>
      <c r="AA521" s="226"/>
      <c r="AK521" s="226"/>
      <c r="AL521" s="226"/>
      <c r="AV521" s="226"/>
      <c r="AW521" s="226"/>
      <c r="BG521" s="226"/>
      <c r="BH521" s="226"/>
      <c r="BR521" s="226"/>
      <c r="BS521" s="226"/>
    </row>
    <row r="522" ht="12.5" spans="15:71">
      <c r="O522" s="226"/>
      <c r="P522" s="226"/>
      <c r="Z522" s="226"/>
      <c r="AA522" s="226"/>
      <c r="AK522" s="226"/>
      <c r="AL522" s="226"/>
      <c r="AV522" s="226"/>
      <c r="AW522" s="226"/>
      <c r="BG522" s="226"/>
      <c r="BH522" s="226"/>
      <c r="BR522" s="226"/>
      <c r="BS522" s="226"/>
    </row>
    <row r="523" ht="12.5" spans="15:71">
      <c r="O523" s="226"/>
      <c r="P523" s="226"/>
      <c r="Z523" s="226"/>
      <c r="AA523" s="226"/>
      <c r="AK523" s="226"/>
      <c r="AL523" s="226"/>
      <c r="AV523" s="226"/>
      <c r="AW523" s="226"/>
      <c r="BG523" s="226"/>
      <c r="BH523" s="226"/>
      <c r="BR523" s="226"/>
      <c r="BS523" s="226"/>
    </row>
    <row r="524" ht="12.5" spans="15:71">
      <c r="O524" s="226"/>
      <c r="P524" s="226"/>
      <c r="Z524" s="226"/>
      <c r="AA524" s="226"/>
      <c r="AK524" s="226"/>
      <c r="AL524" s="226"/>
      <c r="AV524" s="226"/>
      <c r="AW524" s="226"/>
      <c r="BG524" s="226"/>
      <c r="BH524" s="226"/>
      <c r="BR524" s="226"/>
      <c r="BS524" s="226"/>
    </row>
    <row r="525" ht="12.5" spans="15:71">
      <c r="O525" s="226"/>
      <c r="P525" s="226"/>
      <c r="Z525" s="226"/>
      <c r="AA525" s="226"/>
      <c r="AK525" s="226"/>
      <c r="AL525" s="226"/>
      <c r="AV525" s="226"/>
      <c r="AW525" s="226"/>
      <c r="BG525" s="226"/>
      <c r="BH525" s="226"/>
      <c r="BR525" s="226"/>
      <c r="BS525" s="226"/>
    </row>
    <row r="526" ht="12.5" spans="15:71">
      <c r="O526" s="226"/>
      <c r="P526" s="226"/>
      <c r="Z526" s="226"/>
      <c r="AA526" s="226"/>
      <c r="AK526" s="226"/>
      <c r="AL526" s="226"/>
      <c r="AV526" s="226"/>
      <c r="AW526" s="226"/>
      <c r="BG526" s="226"/>
      <c r="BH526" s="226"/>
      <c r="BR526" s="226"/>
      <c r="BS526" s="226"/>
    </row>
    <row r="527" ht="12.5" spans="15:71">
      <c r="O527" s="226"/>
      <c r="P527" s="226"/>
      <c r="Z527" s="226"/>
      <c r="AA527" s="226"/>
      <c r="AK527" s="226"/>
      <c r="AL527" s="226"/>
      <c r="AV527" s="226"/>
      <c r="AW527" s="226"/>
      <c r="BG527" s="226"/>
      <c r="BH527" s="226"/>
      <c r="BR527" s="226"/>
      <c r="BS527" s="226"/>
    </row>
    <row r="528" ht="12.5" spans="15:71">
      <c r="O528" s="226"/>
      <c r="P528" s="226"/>
      <c r="Z528" s="226"/>
      <c r="AA528" s="226"/>
      <c r="AK528" s="226"/>
      <c r="AL528" s="226"/>
      <c r="AV528" s="226"/>
      <c r="AW528" s="226"/>
      <c r="BG528" s="226"/>
      <c r="BH528" s="226"/>
      <c r="BR528" s="226"/>
      <c r="BS528" s="226"/>
    </row>
    <row r="529" ht="12.5" spans="15:71">
      <c r="O529" s="226"/>
      <c r="P529" s="226"/>
      <c r="Z529" s="226"/>
      <c r="AA529" s="226"/>
      <c r="AK529" s="226"/>
      <c r="AL529" s="226"/>
      <c r="AV529" s="226"/>
      <c r="AW529" s="226"/>
      <c r="BG529" s="226"/>
      <c r="BH529" s="226"/>
      <c r="BR529" s="226"/>
      <c r="BS529" s="226"/>
    </row>
    <row r="530" ht="12.5" spans="15:71">
      <c r="O530" s="226"/>
      <c r="P530" s="226"/>
      <c r="Z530" s="226"/>
      <c r="AA530" s="226"/>
      <c r="AK530" s="226"/>
      <c r="AL530" s="226"/>
      <c r="AV530" s="226"/>
      <c r="AW530" s="226"/>
      <c r="BG530" s="226"/>
      <c r="BH530" s="226"/>
      <c r="BR530" s="226"/>
      <c r="BS530" s="226"/>
    </row>
    <row r="531" ht="12.5" spans="15:71">
      <c r="O531" s="226"/>
      <c r="P531" s="226"/>
      <c r="Z531" s="226"/>
      <c r="AA531" s="226"/>
      <c r="AK531" s="226"/>
      <c r="AL531" s="226"/>
      <c r="AV531" s="226"/>
      <c r="AW531" s="226"/>
      <c r="BG531" s="226"/>
      <c r="BH531" s="226"/>
      <c r="BR531" s="226"/>
      <c r="BS531" s="226"/>
    </row>
    <row r="532" ht="12.5" spans="15:71">
      <c r="O532" s="226"/>
      <c r="P532" s="226"/>
      <c r="Z532" s="226"/>
      <c r="AA532" s="226"/>
      <c r="AK532" s="226"/>
      <c r="AL532" s="226"/>
      <c r="AV532" s="226"/>
      <c r="AW532" s="226"/>
      <c r="BG532" s="226"/>
      <c r="BH532" s="226"/>
      <c r="BR532" s="226"/>
      <c r="BS532" s="226"/>
    </row>
    <row r="533" ht="12.5" spans="15:71">
      <c r="O533" s="226"/>
      <c r="P533" s="226"/>
      <c r="Z533" s="226"/>
      <c r="AA533" s="226"/>
      <c r="AK533" s="226"/>
      <c r="AL533" s="226"/>
      <c r="AV533" s="226"/>
      <c r="AW533" s="226"/>
      <c r="BG533" s="226"/>
      <c r="BH533" s="226"/>
      <c r="BR533" s="226"/>
      <c r="BS533" s="226"/>
    </row>
    <row r="534" ht="12.5" spans="15:71">
      <c r="O534" s="226"/>
      <c r="P534" s="226"/>
      <c r="Z534" s="226"/>
      <c r="AA534" s="226"/>
      <c r="AK534" s="226"/>
      <c r="AL534" s="226"/>
      <c r="AV534" s="226"/>
      <c r="AW534" s="226"/>
      <c r="BG534" s="226"/>
      <c r="BH534" s="226"/>
      <c r="BR534" s="226"/>
      <c r="BS534" s="226"/>
    </row>
    <row r="535" ht="12.5" spans="15:71">
      <c r="O535" s="226"/>
      <c r="P535" s="226"/>
      <c r="Z535" s="226"/>
      <c r="AA535" s="226"/>
      <c r="AK535" s="226"/>
      <c r="AL535" s="226"/>
      <c r="AV535" s="226"/>
      <c r="AW535" s="226"/>
      <c r="BG535" s="226"/>
      <c r="BH535" s="226"/>
      <c r="BR535" s="226"/>
      <c r="BS535" s="226"/>
    </row>
    <row r="536" ht="12.5" spans="15:71">
      <c r="O536" s="226"/>
      <c r="P536" s="226"/>
      <c r="Z536" s="226"/>
      <c r="AA536" s="226"/>
      <c r="AK536" s="226"/>
      <c r="AL536" s="226"/>
      <c r="AV536" s="226"/>
      <c r="AW536" s="226"/>
      <c r="BG536" s="226"/>
      <c r="BH536" s="226"/>
      <c r="BR536" s="226"/>
      <c r="BS536" s="226"/>
    </row>
    <row r="537" ht="12.5" spans="15:71">
      <c r="O537" s="226"/>
      <c r="P537" s="226"/>
      <c r="Z537" s="226"/>
      <c r="AA537" s="226"/>
      <c r="AK537" s="226"/>
      <c r="AL537" s="226"/>
      <c r="AV537" s="226"/>
      <c r="AW537" s="226"/>
      <c r="BG537" s="226"/>
      <c r="BH537" s="226"/>
      <c r="BR537" s="226"/>
      <c r="BS537" s="226"/>
    </row>
    <row r="538" ht="12.5" spans="15:71">
      <c r="O538" s="226"/>
      <c r="P538" s="226"/>
      <c r="Z538" s="226"/>
      <c r="AA538" s="226"/>
      <c r="AK538" s="226"/>
      <c r="AL538" s="226"/>
      <c r="AV538" s="226"/>
      <c r="AW538" s="226"/>
      <c r="BG538" s="226"/>
      <c r="BH538" s="226"/>
      <c r="BR538" s="226"/>
      <c r="BS538" s="226"/>
    </row>
    <row r="539" ht="12.5" spans="15:71">
      <c r="O539" s="226"/>
      <c r="P539" s="226"/>
      <c r="Z539" s="226"/>
      <c r="AA539" s="226"/>
      <c r="AK539" s="226"/>
      <c r="AL539" s="226"/>
      <c r="AV539" s="226"/>
      <c r="AW539" s="226"/>
      <c r="BG539" s="226"/>
      <c r="BH539" s="226"/>
      <c r="BR539" s="226"/>
      <c r="BS539" s="226"/>
    </row>
    <row r="540" ht="12.5" spans="15:71">
      <c r="O540" s="226"/>
      <c r="P540" s="226"/>
      <c r="Z540" s="226"/>
      <c r="AA540" s="226"/>
      <c r="AK540" s="226"/>
      <c r="AL540" s="226"/>
      <c r="AV540" s="226"/>
      <c r="AW540" s="226"/>
      <c r="BG540" s="226"/>
      <c r="BH540" s="226"/>
      <c r="BR540" s="226"/>
      <c r="BS540" s="226"/>
    </row>
    <row r="541" ht="12.5" spans="15:71">
      <c r="O541" s="226"/>
      <c r="P541" s="226"/>
      <c r="Z541" s="226"/>
      <c r="AA541" s="226"/>
      <c r="AK541" s="226"/>
      <c r="AL541" s="226"/>
      <c r="AV541" s="226"/>
      <c r="AW541" s="226"/>
      <c r="BG541" s="226"/>
      <c r="BH541" s="226"/>
      <c r="BR541" s="226"/>
      <c r="BS541" s="226"/>
    </row>
    <row r="542" ht="12.5" spans="15:71">
      <c r="O542" s="226"/>
      <c r="P542" s="226"/>
      <c r="Z542" s="226"/>
      <c r="AA542" s="226"/>
      <c r="AK542" s="226"/>
      <c r="AL542" s="226"/>
      <c r="AV542" s="226"/>
      <c r="AW542" s="226"/>
      <c r="BG542" s="226"/>
      <c r="BH542" s="226"/>
      <c r="BR542" s="226"/>
      <c r="BS542" s="226"/>
    </row>
    <row r="543" ht="12.5" spans="15:71">
      <c r="O543" s="226"/>
      <c r="P543" s="226"/>
      <c r="Z543" s="226"/>
      <c r="AA543" s="226"/>
      <c r="AK543" s="226"/>
      <c r="AL543" s="226"/>
      <c r="AV543" s="226"/>
      <c r="AW543" s="226"/>
      <c r="BG543" s="226"/>
      <c r="BH543" s="226"/>
      <c r="BR543" s="226"/>
      <c r="BS543" s="226"/>
    </row>
    <row r="544" ht="12.5" spans="15:71">
      <c r="O544" s="226"/>
      <c r="P544" s="226"/>
      <c r="Z544" s="226"/>
      <c r="AA544" s="226"/>
      <c r="AK544" s="226"/>
      <c r="AL544" s="226"/>
      <c r="AV544" s="226"/>
      <c r="AW544" s="226"/>
      <c r="BG544" s="226"/>
      <c r="BH544" s="226"/>
      <c r="BR544" s="226"/>
      <c r="BS544" s="226"/>
    </row>
    <row r="545" ht="12.5" spans="15:71">
      <c r="O545" s="226"/>
      <c r="P545" s="226"/>
      <c r="Z545" s="226"/>
      <c r="AA545" s="226"/>
      <c r="AK545" s="226"/>
      <c r="AL545" s="226"/>
      <c r="AV545" s="226"/>
      <c r="AW545" s="226"/>
      <c r="BG545" s="226"/>
      <c r="BH545" s="226"/>
      <c r="BR545" s="226"/>
      <c r="BS545" s="226"/>
    </row>
    <row r="546" ht="12.5" spans="15:71">
      <c r="O546" s="226"/>
      <c r="P546" s="226"/>
      <c r="Z546" s="226"/>
      <c r="AA546" s="226"/>
      <c r="AK546" s="226"/>
      <c r="AL546" s="226"/>
      <c r="AV546" s="226"/>
      <c r="AW546" s="226"/>
      <c r="BG546" s="226"/>
      <c r="BH546" s="226"/>
      <c r="BR546" s="226"/>
      <c r="BS546" s="226"/>
    </row>
    <row r="547" ht="12.5" spans="15:71">
      <c r="O547" s="226"/>
      <c r="P547" s="226"/>
      <c r="Z547" s="226"/>
      <c r="AA547" s="226"/>
      <c r="AK547" s="226"/>
      <c r="AL547" s="226"/>
      <c r="AV547" s="226"/>
      <c r="AW547" s="226"/>
      <c r="BG547" s="226"/>
      <c r="BH547" s="226"/>
      <c r="BR547" s="226"/>
      <c r="BS547" s="226"/>
    </row>
    <row r="548" ht="12.5" spans="15:71">
      <c r="O548" s="226"/>
      <c r="P548" s="226"/>
      <c r="Z548" s="226"/>
      <c r="AA548" s="226"/>
      <c r="AK548" s="226"/>
      <c r="AL548" s="226"/>
      <c r="AV548" s="226"/>
      <c r="AW548" s="226"/>
      <c r="BG548" s="226"/>
      <c r="BH548" s="226"/>
      <c r="BR548" s="226"/>
      <c r="BS548" s="226"/>
    </row>
    <row r="549" ht="12.5" spans="15:71">
      <c r="O549" s="226"/>
      <c r="P549" s="226"/>
      <c r="Z549" s="226"/>
      <c r="AA549" s="226"/>
      <c r="AK549" s="226"/>
      <c r="AL549" s="226"/>
      <c r="AV549" s="226"/>
      <c r="AW549" s="226"/>
      <c r="BG549" s="226"/>
      <c r="BH549" s="226"/>
      <c r="BR549" s="226"/>
      <c r="BS549" s="226"/>
    </row>
    <row r="550" ht="12.5" spans="15:71">
      <c r="O550" s="226"/>
      <c r="P550" s="226"/>
      <c r="Z550" s="226"/>
      <c r="AA550" s="226"/>
      <c r="AK550" s="226"/>
      <c r="AL550" s="226"/>
      <c r="AV550" s="226"/>
      <c r="AW550" s="226"/>
      <c r="BG550" s="226"/>
      <c r="BH550" s="226"/>
      <c r="BR550" s="226"/>
      <c r="BS550" s="226"/>
    </row>
    <row r="551" ht="12.5" spans="15:71">
      <c r="O551" s="226"/>
      <c r="P551" s="226"/>
      <c r="Z551" s="226"/>
      <c r="AA551" s="226"/>
      <c r="AK551" s="226"/>
      <c r="AL551" s="226"/>
      <c r="AV551" s="226"/>
      <c r="AW551" s="226"/>
      <c r="BG551" s="226"/>
      <c r="BH551" s="226"/>
      <c r="BR551" s="226"/>
      <c r="BS551" s="226"/>
    </row>
    <row r="552" ht="12.5" spans="15:71">
      <c r="O552" s="226"/>
      <c r="P552" s="226"/>
      <c r="Z552" s="226"/>
      <c r="AA552" s="226"/>
      <c r="AK552" s="226"/>
      <c r="AL552" s="226"/>
      <c r="AV552" s="226"/>
      <c r="AW552" s="226"/>
      <c r="BG552" s="226"/>
      <c r="BH552" s="226"/>
      <c r="BR552" s="226"/>
      <c r="BS552" s="226"/>
    </row>
    <row r="553" ht="12.5" spans="15:71">
      <c r="O553" s="226"/>
      <c r="P553" s="226"/>
      <c r="Z553" s="226"/>
      <c r="AA553" s="226"/>
      <c r="AK553" s="226"/>
      <c r="AL553" s="226"/>
      <c r="AV553" s="226"/>
      <c r="AW553" s="226"/>
      <c r="BG553" s="226"/>
      <c r="BH553" s="226"/>
      <c r="BR553" s="226"/>
      <c r="BS553" s="226"/>
    </row>
    <row r="554" ht="12.5" spans="15:71">
      <c r="O554" s="226"/>
      <c r="P554" s="226"/>
      <c r="Z554" s="226"/>
      <c r="AA554" s="226"/>
      <c r="AK554" s="226"/>
      <c r="AL554" s="226"/>
      <c r="AV554" s="226"/>
      <c r="AW554" s="226"/>
      <c r="BG554" s="226"/>
      <c r="BH554" s="226"/>
      <c r="BR554" s="226"/>
      <c r="BS554" s="226"/>
    </row>
    <row r="555" ht="12.5" spans="15:71">
      <c r="O555" s="226"/>
      <c r="P555" s="226"/>
      <c r="Z555" s="226"/>
      <c r="AA555" s="226"/>
      <c r="AK555" s="226"/>
      <c r="AL555" s="226"/>
      <c r="AV555" s="226"/>
      <c r="AW555" s="226"/>
      <c r="BG555" s="226"/>
      <c r="BH555" s="226"/>
      <c r="BR555" s="226"/>
      <c r="BS555" s="226"/>
    </row>
    <row r="556" ht="12.5" spans="15:71">
      <c r="O556" s="226"/>
      <c r="P556" s="226"/>
      <c r="Z556" s="226"/>
      <c r="AA556" s="226"/>
      <c r="AK556" s="226"/>
      <c r="AL556" s="226"/>
      <c r="AV556" s="226"/>
      <c r="AW556" s="226"/>
      <c r="BG556" s="226"/>
      <c r="BH556" s="226"/>
      <c r="BR556" s="226"/>
      <c r="BS556" s="226"/>
    </row>
    <row r="557" ht="12.5" spans="15:71">
      <c r="O557" s="226"/>
      <c r="P557" s="226"/>
      <c r="Z557" s="226"/>
      <c r="AA557" s="226"/>
      <c r="AK557" s="226"/>
      <c r="AL557" s="226"/>
      <c r="AV557" s="226"/>
      <c r="AW557" s="226"/>
      <c r="BG557" s="226"/>
      <c r="BH557" s="226"/>
      <c r="BR557" s="226"/>
      <c r="BS557" s="226"/>
    </row>
    <row r="558" ht="12.5" spans="15:71">
      <c r="O558" s="226"/>
      <c r="P558" s="226"/>
      <c r="Z558" s="226"/>
      <c r="AA558" s="226"/>
      <c r="AK558" s="226"/>
      <c r="AL558" s="226"/>
      <c r="AV558" s="226"/>
      <c r="AW558" s="226"/>
      <c r="BG558" s="226"/>
      <c r="BH558" s="226"/>
      <c r="BR558" s="226"/>
      <c r="BS558" s="226"/>
    </row>
    <row r="559" ht="12.5" spans="15:71">
      <c r="O559" s="226"/>
      <c r="P559" s="226"/>
      <c r="Z559" s="226"/>
      <c r="AA559" s="226"/>
      <c r="AK559" s="226"/>
      <c r="AL559" s="226"/>
      <c r="AV559" s="226"/>
      <c r="AW559" s="226"/>
      <c r="BG559" s="226"/>
      <c r="BH559" s="226"/>
      <c r="BR559" s="226"/>
      <c r="BS559" s="226"/>
    </row>
    <row r="560" ht="12.5" spans="15:71">
      <c r="O560" s="226"/>
      <c r="P560" s="226"/>
      <c r="Z560" s="226"/>
      <c r="AA560" s="226"/>
      <c r="AK560" s="226"/>
      <c r="AL560" s="226"/>
      <c r="AV560" s="226"/>
      <c r="AW560" s="226"/>
      <c r="BG560" s="226"/>
      <c r="BH560" s="226"/>
      <c r="BR560" s="226"/>
      <c r="BS560" s="226"/>
    </row>
    <row r="561" ht="12.5" spans="15:71">
      <c r="O561" s="226"/>
      <c r="P561" s="226"/>
      <c r="Z561" s="226"/>
      <c r="AA561" s="226"/>
      <c r="AK561" s="226"/>
      <c r="AL561" s="226"/>
      <c r="AV561" s="226"/>
      <c r="AW561" s="226"/>
      <c r="BG561" s="226"/>
      <c r="BH561" s="226"/>
      <c r="BR561" s="226"/>
      <c r="BS561" s="226"/>
    </row>
    <row r="562" ht="12.5" spans="15:71">
      <c r="O562" s="226"/>
      <c r="P562" s="226"/>
      <c r="Z562" s="226"/>
      <c r="AA562" s="226"/>
      <c r="AK562" s="226"/>
      <c r="AL562" s="226"/>
      <c r="AV562" s="226"/>
      <c r="AW562" s="226"/>
      <c r="BG562" s="226"/>
      <c r="BH562" s="226"/>
      <c r="BR562" s="226"/>
      <c r="BS562" s="226"/>
    </row>
    <row r="563" ht="12.5" spans="15:71">
      <c r="O563" s="226"/>
      <c r="P563" s="226"/>
      <c r="Z563" s="226"/>
      <c r="AA563" s="226"/>
      <c r="AK563" s="226"/>
      <c r="AL563" s="226"/>
      <c r="AV563" s="226"/>
      <c r="AW563" s="226"/>
      <c r="BG563" s="226"/>
      <c r="BH563" s="226"/>
      <c r="BR563" s="226"/>
      <c r="BS563" s="226"/>
    </row>
    <row r="564" ht="12.5" spans="15:71">
      <c r="O564" s="226"/>
      <c r="P564" s="226"/>
      <c r="Z564" s="226"/>
      <c r="AA564" s="226"/>
      <c r="AK564" s="226"/>
      <c r="AL564" s="226"/>
      <c r="AV564" s="226"/>
      <c r="AW564" s="226"/>
      <c r="BG564" s="226"/>
      <c r="BH564" s="226"/>
      <c r="BR564" s="226"/>
      <c r="BS564" s="226"/>
    </row>
    <row r="565" ht="12.5" spans="15:71">
      <c r="O565" s="226"/>
      <c r="P565" s="226"/>
      <c r="Z565" s="226"/>
      <c r="AA565" s="226"/>
      <c r="AK565" s="226"/>
      <c r="AL565" s="226"/>
      <c r="AV565" s="226"/>
      <c r="AW565" s="226"/>
      <c r="BG565" s="226"/>
      <c r="BH565" s="226"/>
      <c r="BR565" s="226"/>
      <c r="BS565" s="226"/>
    </row>
    <row r="566" ht="12.5" spans="15:71">
      <c r="O566" s="226"/>
      <c r="P566" s="226"/>
      <c r="Z566" s="226"/>
      <c r="AA566" s="226"/>
      <c r="AK566" s="226"/>
      <c r="AL566" s="226"/>
      <c r="AV566" s="226"/>
      <c r="AW566" s="226"/>
      <c r="BG566" s="226"/>
      <c r="BH566" s="226"/>
      <c r="BR566" s="226"/>
      <c r="BS566" s="226"/>
    </row>
    <row r="567" ht="12.5" spans="15:71">
      <c r="O567" s="226"/>
      <c r="P567" s="226"/>
      <c r="Z567" s="226"/>
      <c r="AA567" s="226"/>
      <c r="AK567" s="226"/>
      <c r="AL567" s="226"/>
      <c r="AV567" s="226"/>
      <c r="AW567" s="226"/>
      <c r="BG567" s="226"/>
      <c r="BH567" s="226"/>
      <c r="BR567" s="226"/>
      <c r="BS567" s="226"/>
    </row>
    <row r="568" ht="12.5" spans="15:71">
      <c r="O568" s="226"/>
      <c r="P568" s="226"/>
      <c r="Z568" s="226"/>
      <c r="AA568" s="226"/>
      <c r="AK568" s="226"/>
      <c r="AL568" s="226"/>
      <c r="AV568" s="226"/>
      <c r="AW568" s="226"/>
      <c r="BG568" s="226"/>
      <c r="BH568" s="226"/>
      <c r="BR568" s="226"/>
      <c r="BS568" s="226"/>
    </row>
    <row r="569" ht="12.5" spans="15:71">
      <c r="O569" s="226"/>
      <c r="P569" s="226"/>
      <c r="Z569" s="226"/>
      <c r="AA569" s="226"/>
      <c r="AK569" s="226"/>
      <c r="AL569" s="226"/>
      <c r="AV569" s="226"/>
      <c r="AW569" s="226"/>
      <c r="BG569" s="226"/>
      <c r="BH569" s="226"/>
      <c r="BR569" s="226"/>
      <c r="BS569" s="226"/>
    </row>
    <row r="570" ht="12.5" spans="15:71">
      <c r="O570" s="226"/>
      <c r="P570" s="226"/>
      <c r="Z570" s="226"/>
      <c r="AA570" s="226"/>
      <c r="AK570" s="226"/>
      <c r="AL570" s="226"/>
      <c r="AV570" s="226"/>
      <c r="AW570" s="226"/>
      <c r="BG570" s="226"/>
      <c r="BH570" s="226"/>
      <c r="BR570" s="226"/>
      <c r="BS570" s="226"/>
    </row>
    <row r="571" ht="12.5" spans="15:71">
      <c r="O571" s="226"/>
      <c r="P571" s="226"/>
      <c r="Z571" s="226"/>
      <c r="AA571" s="226"/>
      <c r="AK571" s="226"/>
      <c r="AL571" s="226"/>
      <c r="AV571" s="226"/>
      <c r="AW571" s="226"/>
      <c r="BG571" s="226"/>
      <c r="BH571" s="226"/>
      <c r="BR571" s="226"/>
      <c r="BS571" s="226"/>
    </row>
    <row r="572" ht="12.5" spans="15:71">
      <c r="O572" s="226"/>
      <c r="P572" s="226"/>
      <c r="Z572" s="226"/>
      <c r="AA572" s="226"/>
      <c r="AK572" s="226"/>
      <c r="AL572" s="226"/>
      <c r="AV572" s="226"/>
      <c r="AW572" s="226"/>
      <c r="BG572" s="226"/>
      <c r="BH572" s="226"/>
      <c r="BR572" s="226"/>
      <c r="BS572" s="226"/>
    </row>
    <row r="573" ht="12.5" spans="15:71">
      <c r="O573" s="226"/>
      <c r="P573" s="226"/>
      <c r="Z573" s="226"/>
      <c r="AA573" s="226"/>
      <c r="AK573" s="226"/>
      <c r="AL573" s="226"/>
      <c r="AV573" s="226"/>
      <c r="AW573" s="226"/>
      <c r="BG573" s="226"/>
      <c r="BH573" s="226"/>
      <c r="BR573" s="226"/>
      <c r="BS573" s="226"/>
    </row>
    <row r="574" ht="12.5" spans="15:71">
      <c r="O574" s="226"/>
      <c r="P574" s="226"/>
      <c r="Z574" s="226"/>
      <c r="AA574" s="226"/>
      <c r="AK574" s="226"/>
      <c r="AL574" s="226"/>
      <c r="AV574" s="226"/>
      <c r="AW574" s="226"/>
      <c r="BG574" s="226"/>
      <c r="BH574" s="226"/>
      <c r="BR574" s="226"/>
      <c r="BS574" s="226"/>
    </row>
    <row r="575" ht="12.5" spans="15:71">
      <c r="O575" s="226"/>
      <c r="P575" s="226"/>
      <c r="Z575" s="226"/>
      <c r="AA575" s="226"/>
      <c r="AK575" s="226"/>
      <c r="AL575" s="226"/>
      <c r="AV575" s="226"/>
      <c r="AW575" s="226"/>
      <c r="BG575" s="226"/>
      <c r="BH575" s="226"/>
      <c r="BR575" s="226"/>
      <c r="BS575" s="226"/>
    </row>
    <row r="576" ht="12.5" spans="15:71">
      <c r="O576" s="226"/>
      <c r="P576" s="226"/>
      <c r="Z576" s="226"/>
      <c r="AA576" s="226"/>
      <c r="AK576" s="226"/>
      <c r="AL576" s="226"/>
      <c r="AV576" s="226"/>
      <c r="AW576" s="226"/>
      <c r="BG576" s="226"/>
      <c r="BH576" s="226"/>
      <c r="BR576" s="226"/>
      <c r="BS576" s="226"/>
    </row>
    <row r="577" ht="12.5" spans="15:71">
      <c r="O577" s="226"/>
      <c r="P577" s="226"/>
      <c r="Z577" s="226"/>
      <c r="AA577" s="226"/>
      <c r="AK577" s="226"/>
      <c r="AL577" s="226"/>
      <c r="AV577" s="226"/>
      <c r="AW577" s="226"/>
      <c r="BG577" s="226"/>
      <c r="BH577" s="226"/>
      <c r="BR577" s="226"/>
      <c r="BS577" s="226"/>
    </row>
    <row r="578" ht="12.5" spans="15:71">
      <c r="O578" s="226"/>
      <c r="P578" s="226"/>
      <c r="Z578" s="226"/>
      <c r="AA578" s="226"/>
      <c r="AK578" s="226"/>
      <c r="AL578" s="226"/>
      <c r="AV578" s="226"/>
      <c r="AW578" s="226"/>
      <c r="BG578" s="226"/>
      <c r="BH578" s="226"/>
      <c r="BR578" s="226"/>
      <c r="BS578" s="226"/>
    </row>
    <row r="579" ht="12.5" spans="15:71">
      <c r="O579" s="226"/>
      <c r="P579" s="226"/>
      <c r="Z579" s="226"/>
      <c r="AA579" s="226"/>
      <c r="AK579" s="226"/>
      <c r="AL579" s="226"/>
      <c r="AV579" s="226"/>
      <c r="AW579" s="226"/>
      <c r="BG579" s="226"/>
      <c r="BH579" s="226"/>
      <c r="BR579" s="226"/>
      <c r="BS579" s="226"/>
    </row>
    <row r="580" ht="12.5" spans="15:71">
      <c r="O580" s="226"/>
      <c r="P580" s="226"/>
      <c r="Z580" s="226"/>
      <c r="AA580" s="226"/>
      <c r="AK580" s="226"/>
      <c r="AL580" s="226"/>
      <c r="AV580" s="226"/>
      <c r="AW580" s="226"/>
      <c r="BG580" s="226"/>
      <c r="BH580" s="226"/>
      <c r="BR580" s="226"/>
      <c r="BS580" s="226"/>
    </row>
    <row r="581" ht="12.5" spans="15:71">
      <c r="O581" s="226"/>
      <c r="P581" s="226"/>
      <c r="Z581" s="226"/>
      <c r="AA581" s="226"/>
      <c r="AK581" s="226"/>
      <c r="AL581" s="226"/>
      <c r="AV581" s="226"/>
      <c r="AW581" s="226"/>
      <c r="BG581" s="226"/>
      <c r="BH581" s="226"/>
      <c r="BR581" s="226"/>
      <c r="BS581" s="226"/>
    </row>
    <row r="582" ht="12.5" spans="15:71">
      <c r="O582" s="226"/>
      <c r="P582" s="226"/>
      <c r="Z582" s="226"/>
      <c r="AA582" s="226"/>
      <c r="AK582" s="226"/>
      <c r="AL582" s="226"/>
      <c r="AV582" s="226"/>
      <c r="AW582" s="226"/>
      <c r="BG582" s="226"/>
      <c r="BH582" s="226"/>
      <c r="BR582" s="226"/>
      <c r="BS582" s="226"/>
    </row>
    <row r="583" ht="12.5" spans="15:71">
      <c r="O583" s="226"/>
      <c r="P583" s="226"/>
      <c r="Z583" s="226"/>
      <c r="AA583" s="226"/>
      <c r="AK583" s="226"/>
      <c r="AL583" s="226"/>
      <c r="AV583" s="226"/>
      <c r="AW583" s="226"/>
      <c r="BG583" s="226"/>
      <c r="BH583" s="226"/>
      <c r="BR583" s="226"/>
      <c r="BS583" s="226"/>
    </row>
    <row r="584" ht="12.5" spans="15:71">
      <c r="O584" s="226"/>
      <c r="P584" s="226"/>
      <c r="Z584" s="226"/>
      <c r="AA584" s="226"/>
      <c r="AK584" s="226"/>
      <c r="AL584" s="226"/>
      <c r="AV584" s="226"/>
      <c r="AW584" s="226"/>
      <c r="BG584" s="226"/>
      <c r="BH584" s="226"/>
      <c r="BR584" s="226"/>
      <c r="BS584" s="226"/>
    </row>
    <row r="585" ht="12.5" spans="15:71">
      <c r="O585" s="226"/>
      <c r="P585" s="226"/>
      <c r="Z585" s="226"/>
      <c r="AA585" s="226"/>
      <c r="AK585" s="226"/>
      <c r="AL585" s="226"/>
      <c r="AV585" s="226"/>
      <c r="AW585" s="226"/>
      <c r="BG585" s="226"/>
      <c r="BH585" s="226"/>
      <c r="BR585" s="226"/>
      <c r="BS585" s="226"/>
    </row>
    <row r="586" ht="12.5" spans="15:71">
      <c r="O586" s="226"/>
      <c r="P586" s="226"/>
      <c r="Z586" s="226"/>
      <c r="AA586" s="226"/>
      <c r="AK586" s="226"/>
      <c r="AL586" s="226"/>
      <c r="AV586" s="226"/>
      <c r="AW586" s="226"/>
      <c r="BG586" s="226"/>
      <c r="BH586" s="226"/>
      <c r="BR586" s="226"/>
      <c r="BS586" s="226"/>
    </row>
    <row r="587" ht="12.5" spans="15:71">
      <c r="O587" s="226"/>
      <c r="P587" s="226"/>
      <c r="Z587" s="226"/>
      <c r="AA587" s="226"/>
      <c r="AK587" s="226"/>
      <c r="AL587" s="226"/>
      <c r="AV587" s="226"/>
      <c r="AW587" s="226"/>
      <c r="BG587" s="226"/>
      <c r="BH587" s="226"/>
      <c r="BR587" s="226"/>
      <c r="BS587" s="226"/>
    </row>
    <row r="588" ht="12.5" spans="15:71">
      <c r="O588" s="226"/>
      <c r="P588" s="226"/>
      <c r="Z588" s="226"/>
      <c r="AA588" s="226"/>
      <c r="AK588" s="226"/>
      <c r="AL588" s="226"/>
      <c r="AV588" s="226"/>
      <c r="AW588" s="226"/>
      <c r="BG588" s="226"/>
      <c r="BH588" s="226"/>
      <c r="BR588" s="226"/>
      <c r="BS588" s="226"/>
    </row>
    <row r="589" ht="12.5" spans="15:71">
      <c r="O589" s="226"/>
      <c r="P589" s="226"/>
      <c r="Z589" s="226"/>
      <c r="AA589" s="226"/>
      <c r="AK589" s="226"/>
      <c r="AL589" s="226"/>
      <c r="AV589" s="226"/>
      <c r="AW589" s="226"/>
      <c r="BG589" s="226"/>
      <c r="BH589" s="226"/>
      <c r="BR589" s="226"/>
      <c r="BS589" s="226"/>
    </row>
    <row r="590" ht="12.5" spans="15:71">
      <c r="O590" s="226"/>
      <c r="P590" s="226"/>
      <c r="Z590" s="226"/>
      <c r="AA590" s="226"/>
      <c r="AK590" s="226"/>
      <c r="AL590" s="226"/>
      <c r="AV590" s="226"/>
      <c r="AW590" s="226"/>
      <c r="BG590" s="226"/>
      <c r="BH590" s="226"/>
      <c r="BR590" s="226"/>
      <c r="BS590" s="226"/>
    </row>
    <row r="591" ht="12.5" spans="15:71">
      <c r="O591" s="226"/>
      <c r="P591" s="226"/>
      <c r="Z591" s="226"/>
      <c r="AA591" s="226"/>
      <c r="AK591" s="226"/>
      <c r="AL591" s="226"/>
      <c r="AV591" s="226"/>
      <c r="AW591" s="226"/>
      <c r="BG591" s="226"/>
      <c r="BH591" s="226"/>
      <c r="BR591" s="226"/>
      <c r="BS591" s="226"/>
    </row>
    <row r="592" ht="12.5" spans="15:71">
      <c r="O592" s="226"/>
      <c r="P592" s="226"/>
      <c r="Z592" s="226"/>
      <c r="AA592" s="226"/>
      <c r="AK592" s="226"/>
      <c r="AL592" s="226"/>
      <c r="AV592" s="226"/>
      <c r="AW592" s="226"/>
      <c r="BG592" s="226"/>
      <c r="BH592" s="226"/>
      <c r="BR592" s="226"/>
      <c r="BS592" s="226"/>
    </row>
    <row r="593" ht="12.5" spans="15:71">
      <c r="O593" s="226"/>
      <c r="P593" s="226"/>
      <c r="Z593" s="226"/>
      <c r="AA593" s="226"/>
      <c r="AK593" s="226"/>
      <c r="AL593" s="226"/>
      <c r="AV593" s="226"/>
      <c r="AW593" s="226"/>
      <c r="BG593" s="226"/>
      <c r="BH593" s="226"/>
      <c r="BR593" s="226"/>
      <c r="BS593" s="226"/>
    </row>
    <row r="594" ht="12.5" spans="15:71">
      <c r="O594" s="226"/>
      <c r="P594" s="226"/>
      <c r="Z594" s="226"/>
      <c r="AA594" s="226"/>
      <c r="AK594" s="226"/>
      <c r="AL594" s="226"/>
      <c r="AV594" s="226"/>
      <c r="AW594" s="226"/>
      <c r="BG594" s="226"/>
      <c r="BH594" s="226"/>
      <c r="BR594" s="226"/>
      <c r="BS594" s="226"/>
    </row>
    <row r="595" ht="12.5" spans="15:71">
      <c r="O595" s="226"/>
      <c r="P595" s="226"/>
      <c r="Z595" s="226"/>
      <c r="AA595" s="226"/>
      <c r="AK595" s="226"/>
      <c r="AL595" s="226"/>
      <c r="AV595" s="226"/>
      <c r="AW595" s="226"/>
      <c r="BG595" s="226"/>
      <c r="BH595" s="226"/>
      <c r="BR595" s="226"/>
      <c r="BS595" s="226"/>
    </row>
    <row r="596" ht="12.5" spans="15:71">
      <c r="O596" s="226"/>
      <c r="P596" s="226"/>
      <c r="Z596" s="226"/>
      <c r="AA596" s="226"/>
      <c r="AK596" s="226"/>
      <c r="AL596" s="226"/>
      <c r="AV596" s="226"/>
      <c r="AW596" s="226"/>
      <c r="BG596" s="226"/>
      <c r="BH596" s="226"/>
      <c r="BR596" s="226"/>
      <c r="BS596" s="226"/>
    </row>
    <row r="597" ht="12.5" spans="15:71">
      <c r="O597" s="226"/>
      <c r="P597" s="226"/>
      <c r="Z597" s="226"/>
      <c r="AA597" s="226"/>
      <c r="AK597" s="226"/>
      <c r="AL597" s="226"/>
      <c r="AV597" s="226"/>
      <c r="AW597" s="226"/>
      <c r="BG597" s="226"/>
      <c r="BH597" s="226"/>
      <c r="BR597" s="226"/>
      <c r="BS597" s="226"/>
    </row>
    <row r="598" ht="12.5" spans="15:71">
      <c r="O598" s="226"/>
      <c r="P598" s="226"/>
      <c r="Z598" s="226"/>
      <c r="AA598" s="226"/>
      <c r="AK598" s="226"/>
      <c r="AL598" s="226"/>
      <c r="AV598" s="226"/>
      <c r="AW598" s="226"/>
      <c r="BG598" s="226"/>
      <c r="BH598" s="226"/>
      <c r="BR598" s="226"/>
      <c r="BS598" s="226"/>
    </row>
    <row r="599" ht="12.5" spans="15:71">
      <c r="O599" s="226"/>
      <c r="P599" s="226"/>
      <c r="Z599" s="226"/>
      <c r="AA599" s="226"/>
      <c r="AK599" s="226"/>
      <c r="AL599" s="226"/>
      <c r="AV599" s="226"/>
      <c r="AW599" s="226"/>
      <c r="BG599" s="226"/>
      <c r="BH599" s="226"/>
      <c r="BR599" s="226"/>
      <c r="BS599" s="226"/>
    </row>
    <row r="600" ht="12.5" spans="15:71">
      <c r="O600" s="226"/>
      <c r="P600" s="226"/>
      <c r="Z600" s="226"/>
      <c r="AA600" s="226"/>
      <c r="AK600" s="226"/>
      <c r="AL600" s="226"/>
      <c r="AV600" s="226"/>
      <c r="AW600" s="226"/>
      <c r="BG600" s="226"/>
      <c r="BH600" s="226"/>
      <c r="BR600" s="226"/>
      <c r="BS600" s="226"/>
    </row>
    <row r="601" ht="12.5" spans="15:71">
      <c r="O601" s="226"/>
      <c r="P601" s="226"/>
      <c r="Z601" s="226"/>
      <c r="AA601" s="226"/>
      <c r="AK601" s="226"/>
      <c r="AL601" s="226"/>
      <c r="AV601" s="226"/>
      <c r="AW601" s="226"/>
      <c r="BG601" s="226"/>
      <c r="BH601" s="226"/>
      <c r="BR601" s="226"/>
      <c r="BS601" s="226"/>
    </row>
    <row r="602" ht="12.5" spans="15:71">
      <c r="O602" s="226"/>
      <c r="P602" s="226"/>
      <c r="Z602" s="226"/>
      <c r="AA602" s="226"/>
      <c r="AK602" s="226"/>
      <c r="AL602" s="226"/>
      <c r="AV602" s="226"/>
      <c r="AW602" s="226"/>
      <c r="BG602" s="226"/>
      <c r="BH602" s="226"/>
      <c r="BR602" s="226"/>
      <c r="BS602" s="226"/>
    </row>
    <row r="603" ht="12.5" spans="15:71">
      <c r="O603" s="226"/>
      <c r="P603" s="226"/>
      <c r="Z603" s="226"/>
      <c r="AA603" s="226"/>
      <c r="AK603" s="226"/>
      <c r="AL603" s="226"/>
      <c r="AV603" s="226"/>
      <c r="AW603" s="226"/>
      <c r="BG603" s="226"/>
      <c r="BH603" s="226"/>
      <c r="BR603" s="226"/>
      <c r="BS603" s="226"/>
    </row>
    <row r="604" ht="12.5" spans="15:71">
      <c r="O604" s="226"/>
      <c r="P604" s="226"/>
      <c r="Z604" s="226"/>
      <c r="AA604" s="226"/>
      <c r="AK604" s="226"/>
      <c r="AL604" s="226"/>
      <c r="AV604" s="226"/>
      <c r="AW604" s="226"/>
      <c r="BG604" s="226"/>
      <c r="BH604" s="226"/>
      <c r="BR604" s="226"/>
      <c r="BS604" s="226"/>
    </row>
    <row r="605" ht="12.5" spans="15:71">
      <c r="O605" s="226"/>
      <c r="P605" s="226"/>
      <c r="Z605" s="226"/>
      <c r="AA605" s="226"/>
      <c r="AK605" s="226"/>
      <c r="AL605" s="226"/>
      <c r="AV605" s="226"/>
      <c r="AW605" s="226"/>
      <c r="BG605" s="226"/>
      <c r="BH605" s="226"/>
      <c r="BR605" s="226"/>
      <c r="BS605" s="226"/>
    </row>
    <row r="606" ht="12.5" spans="15:71">
      <c r="O606" s="226"/>
      <c r="P606" s="226"/>
      <c r="Z606" s="226"/>
      <c r="AA606" s="226"/>
      <c r="AK606" s="226"/>
      <c r="AL606" s="226"/>
      <c r="AV606" s="226"/>
      <c r="AW606" s="226"/>
      <c r="BG606" s="226"/>
      <c r="BH606" s="226"/>
      <c r="BR606" s="226"/>
      <c r="BS606" s="226"/>
    </row>
    <row r="607" ht="12.5" spans="15:71">
      <c r="O607" s="226"/>
      <c r="P607" s="226"/>
      <c r="Z607" s="226"/>
      <c r="AA607" s="226"/>
      <c r="AK607" s="226"/>
      <c r="AL607" s="226"/>
      <c r="AV607" s="226"/>
      <c r="AW607" s="226"/>
      <c r="BG607" s="226"/>
      <c r="BH607" s="226"/>
      <c r="BR607" s="226"/>
      <c r="BS607" s="226"/>
    </row>
    <row r="608" ht="12.5" spans="15:71">
      <c r="O608" s="226"/>
      <c r="P608" s="226"/>
      <c r="Z608" s="226"/>
      <c r="AA608" s="226"/>
      <c r="AK608" s="226"/>
      <c r="AL608" s="226"/>
      <c r="AV608" s="226"/>
      <c r="AW608" s="226"/>
      <c r="BG608" s="226"/>
      <c r="BH608" s="226"/>
      <c r="BR608" s="226"/>
      <c r="BS608" s="226"/>
    </row>
    <row r="609" ht="12.5" spans="15:71">
      <c r="O609" s="226"/>
      <c r="P609" s="226"/>
      <c r="Z609" s="226"/>
      <c r="AA609" s="226"/>
      <c r="AK609" s="226"/>
      <c r="AL609" s="226"/>
      <c r="AV609" s="226"/>
      <c r="AW609" s="226"/>
      <c r="BG609" s="226"/>
      <c r="BH609" s="226"/>
      <c r="BR609" s="226"/>
      <c r="BS609" s="226"/>
    </row>
    <row r="610" ht="12.5" spans="15:71">
      <c r="O610" s="226"/>
      <c r="P610" s="226"/>
      <c r="Z610" s="226"/>
      <c r="AA610" s="226"/>
      <c r="AK610" s="226"/>
      <c r="AL610" s="226"/>
      <c r="AV610" s="226"/>
      <c r="AW610" s="226"/>
      <c r="BG610" s="226"/>
      <c r="BH610" s="226"/>
      <c r="BR610" s="226"/>
      <c r="BS610" s="226"/>
    </row>
    <row r="611" ht="12.5" spans="15:71">
      <c r="O611" s="226"/>
      <c r="P611" s="226"/>
      <c r="Z611" s="226"/>
      <c r="AA611" s="226"/>
      <c r="AK611" s="226"/>
      <c r="AL611" s="226"/>
      <c r="AV611" s="226"/>
      <c r="AW611" s="226"/>
      <c r="BG611" s="226"/>
      <c r="BH611" s="226"/>
      <c r="BR611" s="226"/>
      <c r="BS611" s="226"/>
    </row>
    <row r="612" ht="12.5" spans="15:71">
      <c r="O612" s="226"/>
      <c r="P612" s="226"/>
      <c r="Z612" s="226"/>
      <c r="AA612" s="226"/>
      <c r="AK612" s="226"/>
      <c r="AL612" s="226"/>
      <c r="AV612" s="226"/>
      <c r="AW612" s="226"/>
      <c r="BG612" s="226"/>
      <c r="BH612" s="226"/>
      <c r="BR612" s="226"/>
      <c r="BS612" s="226"/>
    </row>
    <row r="613" ht="12.5" spans="15:71">
      <c r="O613" s="226"/>
      <c r="P613" s="226"/>
      <c r="Z613" s="226"/>
      <c r="AA613" s="226"/>
      <c r="AK613" s="226"/>
      <c r="AL613" s="226"/>
      <c r="AV613" s="226"/>
      <c r="AW613" s="226"/>
      <c r="BG613" s="226"/>
      <c r="BH613" s="226"/>
      <c r="BR613" s="226"/>
      <c r="BS613" s="226"/>
    </row>
    <row r="614" ht="12.5" spans="15:71">
      <c r="O614" s="226"/>
      <c r="P614" s="226"/>
      <c r="Z614" s="226"/>
      <c r="AA614" s="226"/>
      <c r="AK614" s="226"/>
      <c r="AL614" s="226"/>
      <c r="AV614" s="226"/>
      <c r="AW614" s="226"/>
      <c r="BG614" s="226"/>
      <c r="BH614" s="226"/>
      <c r="BR614" s="226"/>
      <c r="BS614" s="226"/>
    </row>
    <row r="615" ht="12.5" spans="15:71">
      <c r="O615" s="226"/>
      <c r="P615" s="226"/>
      <c r="Z615" s="226"/>
      <c r="AA615" s="226"/>
      <c r="AK615" s="226"/>
      <c r="AL615" s="226"/>
      <c r="AV615" s="226"/>
      <c r="AW615" s="226"/>
      <c r="BG615" s="226"/>
      <c r="BH615" s="226"/>
      <c r="BR615" s="226"/>
      <c r="BS615" s="226"/>
    </row>
    <row r="616" ht="12.5" spans="15:71">
      <c r="O616" s="226"/>
      <c r="P616" s="226"/>
      <c r="Z616" s="226"/>
      <c r="AA616" s="226"/>
      <c r="AK616" s="226"/>
      <c r="AL616" s="226"/>
      <c r="AV616" s="226"/>
      <c r="AW616" s="226"/>
      <c r="BG616" s="226"/>
      <c r="BH616" s="226"/>
      <c r="BR616" s="226"/>
      <c r="BS616" s="226"/>
    </row>
    <row r="617" ht="12.5" spans="15:71">
      <c r="O617" s="226"/>
      <c r="P617" s="226"/>
      <c r="Z617" s="226"/>
      <c r="AA617" s="226"/>
      <c r="AK617" s="226"/>
      <c r="AL617" s="226"/>
      <c r="AV617" s="226"/>
      <c r="AW617" s="226"/>
      <c r="BG617" s="226"/>
      <c r="BH617" s="226"/>
      <c r="BR617" s="226"/>
      <c r="BS617" s="226"/>
    </row>
    <row r="618" ht="12.5" spans="15:71">
      <c r="O618" s="226"/>
      <c r="P618" s="226"/>
      <c r="Z618" s="226"/>
      <c r="AA618" s="226"/>
      <c r="AK618" s="226"/>
      <c r="AL618" s="226"/>
      <c r="AV618" s="226"/>
      <c r="AW618" s="226"/>
      <c r="BG618" s="226"/>
      <c r="BH618" s="226"/>
      <c r="BR618" s="226"/>
      <c r="BS618" s="226"/>
    </row>
    <row r="619" ht="12.5" spans="15:71">
      <c r="O619" s="226"/>
      <c r="P619" s="226"/>
      <c r="Z619" s="226"/>
      <c r="AA619" s="226"/>
      <c r="AK619" s="226"/>
      <c r="AL619" s="226"/>
      <c r="AV619" s="226"/>
      <c r="AW619" s="226"/>
      <c r="BG619" s="226"/>
      <c r="BH619" s="226"/>
      <c r="BR619" s="226"/>
      <c r="BS619" s="226"/>
    </row>
    <row r="620" ht="12.5" spans="15:71">
      <c r="O620" s="226"/>
      <c r="P620" s="226"/>
      <c r="Z620" s="226"/>
      <c r="AA620" s="226"/>
      <c r="AK620" s="226"/>
      <c r="AL620" s="226"/>
      <c r="AV620" s="226"/>
      <c r="AW620" s="226"/>
      <c r="BG620" s="226"/>
      <c r="BH620" s="226"/>
      <c r="BR620" s="226"/>
      <c r="BS620" s="226"/>
    </row>
    <row r="621" ht="12.5" spans="15:71">
      <c r="O621" s="226"/>
      <c r="P621" s="226"/>
      <c r="Z621" s="226"/>
      <c r="AA621" s="226"/>
      <c r="AK621" s="226"/>
      <c r="AL621" s="226"/>
      <c r="AV621" s="226"/>
      <c r="AW621" s="226"/>
      <c r="BG621" s="226"/>
      <c r="BH621" s="226"/>
      <c r="BR621" s="226"/>
      <c r="BS621" s="226"/>
    </row>
    <row r="622" ht="12.5" spans="15:71">
      <c r="O622" s="226"/>
      <c r="P622" s="226"/>
      <c r="Z622" s="226"/>
      <c r="AA622" s="226"/>
      <c r="AK622" s="226"/>
      <c r="AL622" s="226"/>
      <c r="AV622" s="226"/>
      <c r="AW622" s="226"/>
      <c r="BG622" s="226"/>
      <c r="BH622" s="226"/>
      <c r="BR622" s="226"/>
      <c r="BS622" s="226"/>
    </row>
    <row r="623" ht="12.5" spans="15:71">
      <c r="O623" s="226"/>
      <c r="P623" s="226"/>
      <c r="Z623" s="226"/>
      <c r="AA623" s="226"/>
      <c r="AK623" s="226"/>
      <c r="AL623" s="226"/>
      <c r="AV623" s="226"/>
      <c r="AW623" s="226"/>
      <c r="BG623" s="226"/>
      <c r="BH623" s="226"/>
      <c r="BR623" s="226"/>
      <c r="BS623" s="226"/>
    </row>
    <row r="624" ht="12.5" spans="15:71">
      <c r="O624" s="226"/>
      <c r="P624" s="226"/>
      <c r="Z624" s="226"/>
      <c r="AA624" s="226"/>
      <c r="AK624" s="226"/>
      <c r="AL624" s="226"/>
      <c r="AV624" s="226"/>
      <c r="AW624" s="226"/>
      <c r="BG624" s="226"/>
      <c r="BH624" s="226"/>
      <c r="BR624" s="226"/>
      <c r="BS624" s="226"/>
    </row>
    <row r="625" ht="12.5" spans="15:71">
      <c r="O625" s="226"/>
      <c r="P625" s="226"/>
      <c r="Z625" s="226"/>
      <c r="AA625" s="226"/>
      <c r="AK625" s="226"/>
      <c r="AL625" s="226"/>
      <c r="AV625" s="226"/>
      <c r="AW625" s="226"/>
      <c r="BG625" s="226"/>
      <c r="BH625" s="226"/>
      <c r="BR625" s="226"/>
      <c r="BS625" s="226"/>
    </row>
    <row r="626" ht="12.5" spans="15:71">
      <c r="O626" s="226"/>
      <c r="P626" s="226"/>
      <c r="Z626" s="226"/>
      <c r="AA626" s="226"/>
      <c r="AK626" s="226"/>
      <c r="AL626" s="226"/>
      <c r="AV626" s="226"/>
      <c r="AW626" s="226"/>
      <c r="BG626" s="226"/>
      <c r="BH626" s="226"/>
      <c r="BR626" s="226"/>
      <c r="BS626" s="226"/>
    </row>
    <row r="627" ht="12.5" spans="15:71">
      <c r="O627" s="226"/>
      <c r="P627" s="226"/>
      <c r="Z627" s="226"/>
      <c r="AA627" s="226"/>
      <c r="AK627" s="226"/>
      <c r="AL627" s="226"/>
      <c r="AV627" s="226"/>
      <c r="AW627" s="226"/>
      <c r="BG627" s="226"/>
      <c r="BH627" s="226"/>
      <c r="BR627" s="226"/>
      <c r="BS627" s="226"/>
    </row>
    <row r="628" ht="12.5" spans="15:71">
      <c r="O628" s="226"/>
      <c r="P628" s="226"/>
      <c r="Z628" s="226"/>
      <c r="AA628" s="226"/>
      <c r="AK628" s="226"/>
      <c r="AL628" s="226"/>
      <c r="AV628" s="226"/>
      <c r="AW628" s="226"/>
      <c r="BG628" s="226"/>
      <c r="BH628" s="226"/>
      <c r="BR628" s="226"/>
      <c r="BS628" s="226"/>
    </row>
    <row r="629" ht="12.5" spans="15:71">
      <c r="O629" s="226"/>
      <c r="P629" s="226"/>
      <c r="Z629" s="226"/>
      <c r="AA629" s="226"/>
      <c r="AK629" s="226"/>
      <c r="AL629" s="226"/>
      <c r="AV629" s="226"/>
      <c r="AW629" s="226"/>
      <c r="BG629" s="226"/>
      <c r="BH629" s="226"/>
      <c r="BR629" s="226"/>
      <c r="BS629" s="226"/>
    </row>
    <row r="630" ht="12.5" spans="15:71">
      <c r="O630" s="226"/>
      <c r="P630" s="226"/>
      <c r="Z630" s="226"/>
      <c r="AA630" s="226"/>
      <c r="AK630" s="226"/>
      <c r="AL630" s="226"/>
      <c r="AV630" s="226"/>
      <c r="AW630" s="226"/>
      <c r="BG630" s="226"/>
      <c r="BH630" s="226"/>
      <c r="BR630" s="226"/>
      <c r="BS630" s="226"/>
    </row>
    <row r="631" ht="12.5" spans="15:71">
      <c r="O631" s="226"/>
      <c r="P631" s="226"/>
      <c r="Z631" s="226"/>
      <c r="AA631" s="226"/>
      <c r="AK631" s="226"/>
      <c r="AL631" s="226"/>
      <c r="AV631" s="226"/>
      <c r="AW631" s="226"/>
      <c r="BG631" s="226"/>
      <c r="BH631" s="226"/>
      <c r="BR631" s="226"/>
      <c r="BS631" s="226"/>
    </row>
    <row r="632" ht="12.5" spans="15:71">
      <c r="O632" s="226"/>
      <c r="P632" s="226"/>
      <c r="Z632" s="226"/>
      <c r="AA632" s="226"/>
      <c r="AK632" s="226"/>
      <c r="AL632" s="226"/>
      <c r="AV632" s="226"/>
      <c r="AW632" s="226"/>
      <c r="BG632" s="226"/>
      <c r="BH632" s="226"/>
      <c r="BR632" s="226"/>
      <c r="BS632" s="226"/>
    </row>
    <row r="633" ht="12.5" spans="15:71">
      <c r="O633" s="226"/>
      <c r="P633" s="226"/>
      <c r="Z633" s="226"/>
      <c r="AA633" s="226"/>
      <c r="AK633" s="226"/>
      <c r="AL633" s="226"/>
      <c r="AV633" s="226"/>
      <c r="AW633" s="226"/>
      <c r="BG633" s="226"/>
      <c r="BH633" s="226"/>
      <c r="BR633" s="226"/>
      <c r="BS633" s="226"/>
    </row>
    <row r="634" ht="12.5" spans="15:71">
      <c r="O634" s="226"/>
      <c r="P634" s="226"/>
      <c r="Z634" s="226"/>
      <c r="AA634" s="226"/>
      <c r="AK634" s="226"/>
      <c r="AL634" s="226"/>
      <c r="AV634" s="226"/>
      <c r="AW634" s="226"/>
      <c r="BG634" s="226"/>
      <c r="BH634" s="226"/>
      <c r="BR634" s="226"/>
      <c r="BS634" s="226"/>
    </row>
    <row r="635" ht="12.5" spans="15:71">
      <c r="O635" s="226"/>
      <c r="P635" s="226"/>
      <c r="Z635" s="226"/>
      <c r="AA635" s="226"/>
      <c r="AK635" s="226"/>
      <c r="AL635" s="226"/>
      <c r="AV635" s="226"/>
      <c r="AW635" s="226"/>
      <c r="BG635" s="226"/>
      <c r="BH635" s="226"/>
      <c r="BR635" s="226"/>
      <c r="BS635" s="226"/>
    </row>
    <row r="636" ht="12.5" spans="15:71">
      <c r="O636" s="226"/>
      <c r="P636" s="226"/>
      <c r="Z636" s="226"/>
      <c r="AA636" s="226"/>
      <c r="AK636" s="226"/>
      <c r="AL636" s="226"/>
      <c r="AV636" s="226"/>
      <c r="AW636" s="226"/>
      <c r="BG636" s="226"/>
      <c r="BH636" s="226"/>
      <c r="BR636" s="226"/>
      <c r="BS636" s="226"/>
    </row>
    <row r="637" ht="12.5" spans="15:71">
      <c r="O637" s="226"/>
      <c r="P637" s="226"/>
      <c r="Z637" s="226"/>
      <c r="AA637" s="226"/>
      <c r="AK637" s="226"/>
      <c r="AL637" s="226"/>
      <c r="AV637" s="226"/>
      <c r="AW637" s="226"/>
      <c r="BG637" s="226"/>
      <c r="BH637" s="226"/>
      <c r="BR637" s="226"/>
      <c r="BS637" s="226"/>
    </row>
    <row r="638" ht="12.5" spans="15:71">
      <c r="O638" s="226"/>
      <c r="P638" s="226"/>
      <c r="Z638" s="226"/>
      <c r="AA638" s="226"/>
      <c r="AK638" s="226"/>
      <c r="AL638" s="226"/>
      <c r="AV638" s="226"/>
      <c r="AW638" s="226"/>
      <c r="BG638" s="226"/>
      <c r="BH638" s="226"/>
      <c r="BR638" s="226"/>
      <c r="BS638" s="226"/>
    </row>
    <row r="639" ht="12.5" spans="15:71">
      <c r="O639" s="226"/>
      <c r="P639" s="226"/>
      <c r="Z639" s="226"/>
      <c r="AA639" s="226"/>
      <c r="AK639" s="226"/>
      <c r="AL639" s="226"/>
      <c r="AV639" s="226"/>
      <c r="AW639" s="226"/>
      <c r="BG639" s="226"/>
      <c r="BH639" s="226"/>
      <c r="BR639" s="226"/>
      <c r="BS639" s="226"/>
    </row>
    <row r="640" ht="12.5" spans="15:71">
      <c r="O640" s="226"/>
      <c r="P640" s="226"/>
      <c r="Z640" s="226"/>
      <c r="AA640" s="226"/>
      <c r="AK640" s="226"/>
      <c r="AL640" s="226"/>
      <c r="AV640" s="226"/>
      <c r="AW640" s="226"/>
      <c r="BG640" s="226"/>
      <c r="BH640" s="226"/>
      <c r="BR640" s="226"/>
      <c r="BS640" s="226"/>
    </row>
    <row r="641" ht="12.5" spans="15:71">
      <c r="O641" s="226"/>
      <c r="P641" s="226"/>
      <c r="Z641" s="226"/>
      <c r="AA641" s="226"/>
      <c r="AK641" s="226"/>
      <c r="AL641" s="226"/>
      <c r="AV641" s="226"/>
      <c r="AW641" s="226"/>
      <c r="BG641" s="226"/>
      <c r="BH641" s="226"/>
      <c r="BR641" s="226"/>
      <c r="BS641" s="226"/>
    </row>
    <row r="642" ht="12.5" spans="15:71">
      <c r="O642" s="226"/>
      <c r="P642" s="226"/>
      <c r="Z642" s="226"/>
      <c r="AA642" s="226"/>
      <c r="AK642" s="226"/>
      <c r="AL642" s="226"/>
      <c r="AV642" s="226"/>
      <c r="AW642" s="226"/>
      <c r="BG642" s="226"/>
      <c r="BH642" s="226"/>
      <c r="BR642" s="226"/>
      <c r="BS642" s="226"/>
    </row>
    <row r="643" ht="12.5" spans="15:71">
      <c r="O643" s="226"/>
      <c r="P643" s="226"/>
      <c r="Z643" s="226"/>
      <c r="AA643" s="226"/>
      <c r="AK643" s="226"/>
      <c r="AL643" s="226"/>
      <c r="AV643" s="226"/>
      <c r="AW643" s="226"/>
      <c r="BG643" s="226"/>
      <c r="BH643" s="226"/>
      <c r="BR643" s="226"/>
      <c r="BS643" s="226"/>
    </row>
    <row r="644" ht="12.5" spans="15:71">
      <c r="O644" s="226"/>
      <c r="P644" s="226"/>
      <c r="Z644" s="226"/>
      <c r="AA644" s="226"/>
      <c r="AK644" s="226"/>
      <c r="AL644" s="226"/>
      <c r="AV644" s="226"/>
      <c r="AW644" s="226"/>
      <c r="BG644" s="226"/>
      <c r="BH644" s="226"/>
      <c r="BR644" s="226"/>
      <c r="BS644" s="226"/>
    </row>
    <row r="645" ht="12.5" spans="15:71">
      <c r="O645" s="226"/>
      <c r="P645" s="226"/>
      <c r="Z645" s="226"/>
      <c r="AA645" s="226"/>
      <c r="AK645" s="226"/>
      <c r="AL645" s="226"/>
      <c r="AV645" s="226"/>
      <c r="AW645" s="226"/>
      <c r="BG645" s="226"/>
      <c r="BH645" s="226"/>
      <c r="BR645" s="226"/>
      <c r="BS645" s="226"/>
    </row>
    <row r="646" ht="12.5" spans="15:71">
      <c r="O646" s="226"/>
      <c r="P646" s="226"/>
      <c r="Z646" s="226"/>
      <c r="AA646" s="226"/>
      <c r="AK646" s="226"/>
      <c r="AL646" s="226"/>
      <c r="AV646" s="226"/>
      <c r="AW646" s="226"/>
      <c r="BG646" s="226"/>
      <c r="BH646" s="226"/>
      <c r="BR646" s="226"/>
      <c r="BS646" s="226"/>
    </row>
    <row r="647" ht="12.5" spans="15:71">
      <c r="O647" s="226"/>
      <c r="P647" s="226"/>
      <c r="Z647" s="226"/>
      <c r="AA647" s="226"/>
      <c r="AK647" s="226"/>
      <c r="AL647" s="226"/>
      <c r="AV647" s="226"/>
      <c r="AW647" s="226"/>
      <c r="BG647" s="226"/>
      <c r="BH647" s="226"/>
      <c r="BR647" s="226"/>
      <c r="BS647" s="226"/>
    </row>
    <row r="648" ht="12.5" spans="15:71">
      <c r="O648" s="226"/>
      <c r="P648" s="226"/>
      <c r="Z648" s="226"/>
      <c r="AA648" s="226"/>
      <c r="AK648" s="226"/>
      <c r="AL648" s="226"/>
      <c r="AV648" s="226"/>
      <c r="AW648" s="226"/>
      <c r="BG648" s="226"/>
      <c r="BH648" s="226"/>
      <c r="BR648" s="226"/>
      <c r="BS648" s="226"/>
    </row>
    <row r="649" ht="12.5" spans="15:71">
      <c r="O649" s="226"/>
      <c r="P649" s="226"/>
      <c r="Z649" s="226"/>
      <c r="AA649" s="226"/>
      <c r="AK649" s="226"/>
      <c r="AL649" s="226"/>
      <c r="AV649" s="226"/>
      <c r="AW649" s="226"/>
      <c r="BG649" s="226"/>
      <c r="BH649" s="226"/>
      <c r="BR649" s="226"/>
      <c r="BS649" s="226"/>
    </row>
    <row r="650" ht="12.5" spans="15:71">
      <c r="O650" s="226"/>
      <c r="P650" s="226"/>
      <c r="Z650" s="226"/>
      <c r="AA650" s="226"/>
      <c r="AK650" s="226"/>
      <c r="AL650" s="226"/>
      <c r="AV650" s="226"/>
      <c r="AW650" s="226"/>
      <c r="BG650" s="226"/>
      <c r="BH650" s="226"/>
      <c r="BR650" s="226"/>
      <c r="BS650" s="226"/>
    </row>
    <row r="651" ht="12.5" spans="15:71">
      <c r="O651" s="226"/>
      <c r="P651" s="226"/>
      <c r="Z651" s="226"/>
      <c r="AA651" s="226"/>
      <c r="AK651" s="226"/>
      <c r="AL651" s="226"/>
      <c r="AV651" s="226"/>
      <c r="AW651" s="226"/>
      <c r="BG651" s="226"/>
      <c r="BH651" s="226"/>
      <c r="BR651" s="226"/>
      <c r="BS651" s="226"/>
    </row>
    <row r="652" ht="12.5" spans="15:71">
      <c r="O652" s="226"/>
      <c r="P652" s="226"/>
      <c r="Z652" s="226"/>
      <c r="AA652" s="226"/>
      <c r="AK652" s="226"/>
      <c r="AL652" s="226"/>
      <c r="AV652" s="226"/>
      <c r="AW652" s="226"/>
      <c r="BG652" s="226"/>
      <c r="BH652" s="226"/>
      <c r="BR652" s="226"/>
      <c r="BS652" s="226"/>
    </row>
    <row r="653" ht="12.5" spans="15:71">
      <c r="O653" s="226"/>
      <c r="P653" s="226"/>
      <c r="Z653" s="226"/>
      <c r="AA653" s="226"/>
      <c r="AK653" s="226"/>
      <c r="AL653" s="226"/>
      <c r="AV653" s="226"/>
      <c r="AW653" s="226"/>
      <c r="BG653" s="226"/>
      <c r="BH653" s="226"/>
      <c r="BR653" s="226"/>
      <c r="BS653" s="226"/>
    </row>
    <row r="654" ht="12.5" spans="15:71">
      <c r="O654" s="226"/>
      <c r="P654" s="226"/>
      <c r="Z654" s="226"/>
      <c r="AA654" s="226"/>
      <c r="AK654" s="226"/>
      <c r="AL654" s="226"/>
      <c r="AV654" s="226"/>
      <c r="AW654" s="226"/>
      <c r="BG654" s="226"/>
      <c r="BH654" s="226"/>
      <c r="BR654" s="226"/>
      <c r="BS654" s="226"/>
    </row>
    <row r="655" ht="12.5" spans="15:71">
      <c r="O655" s="226"/>
      <c r="P655" s="226"/>
      <c r="Z655" s="226"/>
      <c r="AA655" s="226"/>
      <c r="AK655" s="226"/>
      <c r="AL655" s="226"/>
      <c r="AV655" s="226"/>
      <c r="AW655" s="226"/>
      <c r="BG655" s="226"/>
      <c r="BH655" s="226"/>
      <c r="BR655" s="226"/>
      <c r="BS655" s="226"/>
    </row>
    <row r="656" ht="12.5" spans="15:71">
      <c r="O656" s="226"/>
      <c r="P656" s="226"/>
      <c r="Z656" s="226"/>
      <c r="AA656" s="226"/>
      <c r="AK656" s="226"/>
      <c r="AL656" s="226"/>
      <c r="AV656" s="226"/>
      <c r="AW656" s="226"/>
      <c r="BG656" s="226"/>
      <c r="BH656" s="226"/>
      <c r="BR656" s="226"/>
      <c r="BS656" s="226"/>
    </row>
    <row r="657" ht="12.5" spans="15:71">
      <c r="O657" s="226"/>
      <c r="P657" s="226"/>
      <c r="Z657" s="226"/>
      <c r="AA657" s="226"/>
      <c r="AK657" s="226"/>
      <c r="AL657" s="226"/>
      <c r="AV657" s="226"/>
      <c r="AW657" s="226"/>
      <c r="BG657" s="226"/>
      <c r="BH657" s="226"/>
      <c r="BR657" s="226"/>
      <c r="BS657" s="226"/>
    </row>
    <row r="658" ht="12.5" spans="15:71">
      <c r="O658" s="226"/>
      <c r="P658" s="226"/>
      <c r="Z658" s="226"/>
      <c r="AA658" s="226"/>
      <c r="AK658" s="226"/>
      <c r="AL658" s="226"/>
      <c r="AV658" s="226"/>
      <c r="AW658" s="226"/>
      <c r="BG658" s="226"/>
      <c r="BH658" s="226"/>
      <c r="BR658" s="226"/>
      <c r="BS658" s="226"/>
    </row>
    <row r="659" ht="12.5" spans="15:71">
      <c r="O659" s="226"/>
      <c r="P659" s="226"/>
      <c r="Z659" s="226"/>
      <c r="AA659" s="226"/>
      <c r="AK659" s="226"/>
      <c r="AL659" s="226"/>
      <c r="AV659" s="226"/>
      <c r="AW659" s="226"/>
      <c r="BG659" s="226"/>
      <c r="BH659" s="226"/>
      <c r="BR659" s="226"/>
      <c r="BS659" s="226"/>
    </row>
    <row r="660" ht="12.5" spans="15:71">
      <c r="O660" s="226"/>
      <c r="P660" s="226"/>
      <c r="Z660" s="226"/>
      <c r="AA660" s="226"/>
      <c r="AK660" s="226"/>
      <c r="AL660" s="226"/>
      <c r="AV660" s="226"/>
      <c r="AW660" s="226"/>
      <c r="BG660" s="226"/>
      <c r="BH660" s="226"/>
      <c r="BR660" s="226"/>
      <c r="BS660" s="226"/>
    </row>
    <row r="661" ht="12.5" spans="15:71">
      <c r="O661" s="226"/>
      <c r="P661" s="226"/>
      <c r="Z661" s="226"/>
      <c r="AA661" s="226"/>
      <c r="AK661" s="226"/>
      <c r="AL661" s="226"/>
      <c r="AV661" s="226"/>
      <c r="AW661" s="226"/>
      <c r="BG661" s="226"/>
      <c r="BH661" s="226"/>
      <c r="BR661" s="226"/>
      <c r="BS661" s="226"/>
    </row>
    <row r="662" ht="12.5" spans="15:71">
      <c r="O662" s="226"/>
      <c r="P662" s="226"/>
      <c r="Z662" s="226"/>
      <c r="AA662" s="226"/>
      <c r="AK662" s="226"/>
      <c r="AL662" s="226"/>
      <c r="AV662" s="226"/>
      <c r="AW662" s="226"/>
      <c r="BG662" s="226"/>
      <c r="BH662" s="226"/>
      <c r="BR662" s="226"/>
      <c r="BS662" s="226"/>
    </row>
    <row r="663" ht="12.5" spans="15:71">
      <c r="O663" s="226"/>
      <c r="P663" s="226"/>
      <c r="Z663" s="226"/>
      <c r="AA663" s="226"/>
      <c r="AK663" s="226"/>
      <c r="AL663" s="226"/>
      <c r="AV663" s="226"/>
      <c r="AW663" s="226"/>
      <c r="BG663" s="226"/>
      <c r="BH663" s="226"/>
      <c r="BR663" s="226"/>
      <c r="BS663" s="226"/>
    </row>
    <row r="664" ht="12.5" spans="15:71">
      <c r="O664" s="226"/>
      <c r="P664" s="226"/>
      <c r="Z664" s="226"/>
      <c r="AA664" s="226"/>
      <c r="AK664" s="226"/>
      <c r="AL664" s="226"/>
      <c r="AV664" s="226"/>
      <c r="AW664" s="226"/>
      <c r="BG664" s="226"/>
      <c r="BH664" s="226"/>
      <c r="BR664" s="226"/>
      <c r="BS664" s="226"/>
    </row>
    <row r="665" ht="12.5" spans="15:71">
      <c r="O665" s="226"/>
      <c r="P665" s="226"/>
      <c r="Z665" s="226"/>
      <c r="AA665" s="226"/>
      <c r="AK665" s="226"/>
      <c r="AL665" s="226"/>
      <c r="AV665" s="226"/>
      <c r="AW665" s="226"/>
      <c r="BG665" s="226"/>
      <c r="BH665" s="226"/>
      <c r="BR665" s="226"/>
      <c r="BS665" s="226"/>
    </row>
    <row r="666" ht="12.5" spans="15:71">
      <c r="O666" s="226"/>
      <c r="P666" s="226"/>
      <c r="Z666" s="226"/>
      <c r="AA666" s="226"/>
      <c r="AK666" s="226"/>
      <c r="AL666" s="226"/>
      <c r="AV666" s="226"/>
      <c r="AW666" s="226"/>
      <c r="BG666" s="226"/>
      <c r="BH666" s="226"/>
      <c r="BR666" s="226"/>
      <c r="BS666" s="226"/>
    </row>
    <row r="667" ht="12.5" spans="15:71">
      <c r="O667" s="226"/>
      <c r="P667" s="226"/>
      <c r="Z667" s="226"/>
      <c r="AA667" s="226"/>
      <c r="AK667" s="226"/>
      <c r="AL667" s="226"/>
      <c r="AV667" s="226"/>
      <c r="AW667" s="226"/>
      <c r="BG667" s="226"/>
      <c r="BH667" s="226"/>
      <c r="BR667" s="226"/>
      <c r="BS667" s="226"/>
    </row>
    <row r="668" ht="12.5" spans="15:71">
      <c r="O668" s="226"/>
      <c r="P668" s="226"/>
      <c r="Z668" s="226"/>
      <c r="AA668" s="226"/>
      <c r="AK668" s="226"/>
      <c r="AL668" s="226"/>
      <c r="AV668" s="226"/>
      <c r="AW668" s="226"/>
      <c r="BG668" s="226"/>
      <c r="BH668" s="226"/>
      <c r="BR668" s="226"/>
      <c r="BS668" s="226"/>
    </row>
    <row r="669" ht="12.5" spans="15:71">
      <c r="O669" s="226"/>
      <c r="P669" s="226"/>
      <c r="Z669" s="226"/>
      <c r="AA669" s="226"/>
      <c r="AK669" s="226"/>
      <c r="AL669" s="226"/>
      <c r="AV669" s="226"/>
      <c r="AW669" s="226"/>
      <c r="BG669" s="226"/>
      <c r="BH669" s="226"/>
      <c r="BR669" s="226"/>
      <c r="BS669" s="226"/>
    </row>
    <row r="670" ht="12.5" spans="15:71">
      <c r="O670" s="226"/>
      <c r="P670" s="226"/>
      <c r="Z670" s="226"/>
      <c r="AA670" s="226"/>
      <c r="AK670" s="226"/>
      <c r="AL670" s="226"/>
      <c r="AV670" s="226"/>
      <c r="AW670" s="226"/>
      <c r="BG670" s="226"/>
      <c r="BH670" s="226"/>
      <c r="BR670" s="226"/>
      <c r="BS670" s="226"/>
    </row>
    <row r="671" ht="12.5" spans="15:71">
      <c r="O671" s="226"/>
      <c r="P671" s="226"/>
      <c r="Z671" s="226"/>
      <c r="AA671" s="226"/>
      <c r="AK671" s="226"/>
      <c r="AL671" s="226"/>
      <c r="AV671" s="226"/>
      <c r="AW671" s="226"/>
      <c r="BG671" s="226"/>
      <c r="BH671" s="226"/>
      <c r="BR671" s="226"/>
      <c r="BS671" s="226"/>
    </row>
    <row r="672" ht="12.5" spans="15:71">
      <c r="O672" s="226"/>
      <c r="P672" s="226"/>
      <c r="Z672" s="226"/>
      <c r="AA672" s="226"/>
      <c r="AK672" s="226"/>
      <c r="AL672" s="226"/>
      <c r="AV672" s="226"/>
      <c r="AW672" s="226"/>
      <c r="BG672" s="226"/>
      <c r="BH672" s="226"/>
      <c r="BR672" s="226"/>
      <c r="BS672" s="226"/>
    </row>
    <row r="673" ht="12.5" spans="15:71">
      <c r="O673" s="226"/>
      <c r="P673" s="226"/>
      <c r="Z673" s="226"/>
      <c r="AA673" s="226"/>
      <c r="AK673" s="226"/>
      <c r="AL673" s="226"/>
      <c r="AV673" s="226"/>
      <c r="AW673" s="226"/>
      <c r="BG673" s="226"/>
      <c r="BH673" s="226"/>
      <c r="BR673" s="226"/>
      <c r="BS673" s="226"/>
    </row>
    <row r="674" ht="12.5" spans="15:71">
      <c r="O674" s="226"/>
      <c r="P674" s="226"/>
      <c r="Z674" s="226"/>
      <c r="AA674" s="226"/>
      <c r="AK674" s="226"/>
      <c r="AL674" s="226"/>
      <c r="AV674" s="226"/>
      <c r="AW674" s="226"/>
      <c r="BG674" s="226"/>
      <c r="BH674" s="226"/>
      <c r="BR674" s="226"/>
      <c r="BS674" s="226"/>
    </row>
    <row r="675" ht="12.5" spans="15:71">
      <c r="O675" s="226"/>
      <c r="P675" s="226"/>
      <c r="Z675" s="226"/>
      <c r="AA675" s="226"/>
      <c r="AK675" s="226"/>
      <c r="AL675" s="226"/>
      <c r="AV675" s="226"/>
      <c r="AW675" s="226"/>
      <c r="BG675" s="226"/>
      <c r="BH675" s="226"/>
      <c r="BR675" s="226"/>
      <c r="BS675" s="226"/>
    </row>
    <row r="676" ht="12.5" spans="15:71">
      <c r="O676" s="226"/>
      <c r="P676" s="226"/>
      <c r="Z676" s="226"/>
      <c r="AA676" s="226"/>
      <c r="AK676" s="226"/>
      <c r="AL676" s="226"/>
      <c r="AV676" s="226"/>
      <c r="AW676" s="226"/>
      <c r="BG676" s="226"/>
      <c r="BH676" s="226"/>
      <c r="BR676" s="226"/>
      <c r="BS676" s="226"/>
    </row>
    <row r="677" ht="12.5" spans="15:71">
      <c r="O677" s="226"/>
      <c r="P677" s="226"/>
      <c r="Z677" s="226"/>
      <c r="AA677" s="226"/>
      <c r="AK677" s="226"/>
      <c r="AL677" s="226"/>
      <c r="AV677" s="226"/>
      <c r="AW677" s="226"/>
      <c r="BG677" s="226"/>
      <c r="BH677" s="226"/>
      <c r="BR677" s="226"/>
      <c r="BS677" s="226"/>
    </row>
    <row r="678" ht="12.5" spans="15:71">
      <c r="O678" s="226"/>
      <c r="P678" s="226"/>
      <c r="Z678" s="226"/>
      <c r="AA678" s="226"/>
      <c r="AK678" s="226"/>
      <c r="AL678" s="226"/>
      <c r="AV678" s="226"/>
      <c r="AW678" s="226"/>
      <c r="BG678" s="226"/>
      <c r="BH678" s="226"/>
      <c r="BR678" s="226"/>
      <c r="BS678" s="226"/>
    </row>
    <row r="679" ht="12.5" spans="15:71">
      <c r="O679" s="226"/>
      <c r="P679" s="226"/>
      <c r="Z679" s="226"/>
      <c r="AA679" s="226"/>
      <c r="AK679" s="226"/>
      <c r="AL679" s="226"/>
      <c r="AV679" s="226"/>
      <c r="AW679" s="226"/>
      <c r="BG679" s="226"/>
      <c r="BH679" s="226"/>
      <c r="BR679" s="226"/>
      <c r="BS679" s="226"/>
    </row>
    <row r="680" ht="12.5" spans="15:71">
      <c r="O680" s="226"/>
      <c r="P680" s="226"/>
      <c r="Z680" s="226"/>
      <c r="AA680" s="226"/>
      <c r="AK680" s="226"/>
      <c r="AL680" s="226"/>
      <c r="AV680" s="226"/>
      <c r="AW680" s="226"/>
      <c r="BG680" s="226"/>
      <c r="BH680" s="226"/>
      <c r="BR680" s="226"/>
      <c r="BS680" s="226"/>
    </row>
    <row r="681" ht="12.5" spans="15:71">
      <c r="O681" s="226"/>
      <c r="P681" s="226"/>
      <c r="Z681" s="226"/>
      <c r="AA681" s="226"/>
      <c r="AK681" s="226"/>
      <c r="AL681" s="226"/>
      <c r="AV681" s="226"/>
      <c r="AW681" s="226"/>
      <c r="BG681" s="226"/>
      <c r="BH681" s="226"/>
      <c r="BR681" s="226"/>
      <c r="BS681" s="226"/>
    </row>
    <row r="682" ht="12.5" spans="15:71">
      <c r="O682" s="226"/>
      <c r="P682" s="226"/>
      <c r="Z682" s="226"/>
      <c r="AA682" s="226"/>
      <c r="AK682" s="226"/>
      <c r="AL682" s="226"/>
      <c r="AV682" s="226"/>
      <c r="AW682" s="226"/>
      <c r="BG682" s="226"/>
      <c r="BH682" s="226"/>
      <c r="BR682" s="226"/>
      <c r="BS682" s="226"/>
    </row>
    <row r="683" ht="12.5" spans="15:71">
      <c r="O683" s="226"/>
      <c r="P683" s="226"/>
      <c r="Z683" s="226"/>
      <c r="AA683" s="226"/>
      <c r="AK683" s="226"/>
      <c r="AL683" s="226"/>
      <c r="AV683" s="226"/>
      <c r="AW683" s="226"/>
      <c r="BG683" s="226"/>
      <c r="BH683" s="226"/>
      <c r="BR683" s="226"/>
      <c r="BS683" s="226"/>
    </row>
    <row r="684" ht="12.5" spans="15:71">
      <c r="O684" s="226"/>
      <c r="P684" s="226"/>
      <c r="Z684" s="226"/>
      <c r="AA684" s="226"/>
      <c r="AK684" s="226"/>
      <c r="AL684" s="226"/>
      <c r="AV684" s="226"/>
      <c r="AW684" s="226"/>
      <c r="BG684" s="226"/>
      <c r="BH684" s="226"/>
      <c r="BR684" s="226"/>
      <c r="BS684" s="226"/>
    </row>
    <row r="685" ht="12.5" spans="15:71">
      <c r="O685" s="226"/>
      <c r="P685" s="226"/>
      <c r="Z685" s="226"/>
      <c r="AA685" s="226"/>
      <c r="AK685" s="226"/>
      <c r="AL685" s="226"/>
      <c r="AV685" s="226"/>
      <c r="AW685" s="226"/>
      <c r="BG685" s="226"/>
      <c r="BH685" s="226"/>
      <c r="BR685" s="226"/>
      <c r="BS685" s="226"/>
    </row>
    <row r="686" ht="12.5" spans="15:71">
      <c r="O686" s="226"/>
      <c r="P686" s="226"/>
      <c r="Z686" s="226"/>
      <c r="AA686" s="226"/>
      <c r="AK686" s="226"/>
      <c r="AL686" s="226"/>
      <c r="AV686" s="226"/>
      <c r="AW686" s="226"/>
      <c r="BG686" s="226"/>
      <c r="BH686" s="226"/>
      <c r="BR686" s="226"/>
      <c r="BS686" s="226"/>
    </row>
    <row r="687" ht="12.5" spans="15:71">
      <c r="O687" s="226"/>
      <c r="P687" s="226"/>
      <c r="Z687" s="226"/>
      <c r="AA687" s="226"/>
      <c r="AK687" s="226"/>
      <c r="AL687" s="226"/>
      <c r="AV687" s="226"/>
      <c r="AW687" s="226"/>
      <c r="BG687" s="226"/>
      <c r="BH687" s="226"/>
      <c r="BR687" s="226"/>
      <c r="BS687" s="226"/>
    </row>
    <row r="688" ht="12.5" spans="15:71">
      <c r="O688" s="226"/>
      <c r="P688" s="226"/>
      <c r="Z688" s="226"/>
      <c r="AA688" s="226"/>
      <c r="AK688" s="226"/>
      <c r="AL688" s="226"/>
      <c r="AV688" s="226"/>
      <c r="AW688" s="226"/>
      <c r="BG688" s="226"/>
      <c r="BH688" s="226"/>
      <c r="BR688" s="226"/>
      <c r="BS688" s="226"/>
    </row>
    <row r="689" ht="12.5" spans="15:71">
      <c r="O689" s="226"/>
      <c r="P689" s="226"/>
      <c r="Z689" s="226"/>
      <c r="AA689" s="226"/>
      <c r="AK689" s="226"/>
      <c r="AL689" s="226"/>
      <c r="AV689" s="226"/>
      <c r="AW689" s="226"/>
      <c r="BG689" s="226"/>
      <c r="BH689" s="226"/>
      <c r="BR689" s="226"/>
      <c r="BS689" s="226"/>
    </row>
    <row r="690" ht="12.5" spans="15:71">
      <c r="O690" s="226"/>
      <c r="P690" s="226"/>
      <c r="Z690" s="226"/>
      <c r="AA690" s="226"/>
      <c r="AK690" s="226"/>
      <c r="AL690" s="226"/>
      <c r="AV690" s="226"/>
      <c r="AW690" s="226"/>
      <c r="BG690" s="226"/>
      <c r="BH690" s="226"/>
      <c r="BR690" s="226"/>
      <c r="BS690" s="226"/>
    </row>
    <row r="691" ht="12.5" spans="15:71">
      <c r="O691" s="226"/>
      <c r="P691" s="226"/>
      <c r="Z691" s="226"/>
      <c r="AA691" s="226"/>
      <c r="AK691" s="226"/>
      <c r="AL691" s="226"/>
      <c r="AV691" s="226"/>
      <c r="AW691" s="226"/>
      <c r="BG691" s="226"/>
      <c r="BH691" s="226"/>
      <c r="BR691" s="226"/>
      <c r="BS691" s="226"/>
    </row>
    <row r="692" ht="12.5" spans="15:71">
      <c r="O692" s="226"/>
      <c r="P692" s="226"/>
      <c r="Z692" s="226"/>
      <c r="AA692" s="226"/>
      <c r="AK692" s="226"/>
      <c r="AL692" s="226"/>
      <c r="AV692" s="226"/>
      <c r="AW692" s="226"/>
      <c r="BG692" s="226"/>
      <c r="BH692" s="226"/>
      <c r="BR692" s="226"/>
      <c r="BS692" s="226"/>
    </row>
    <row r="693" ht="12.5" spans="15:71">
      <c r="O693" s="226"/>
      <c r="P693" s="226"/>
      <c r="Z693" s="226"/>
      <c r="AA693" s="226"/>
      <c r="AK693" s="226"/>
      <c r="AL693" s="226"/>
      <c r="AV693" s="226"/>
      <c r="AW693" s="226"/>
      <c r="BG693" s="226"/>
      <c r="BH693" s="226"/>
      <c r="BR693" s="226"/>
      <c r="BS693" s="226"/>
    </row>
    <row r="694" ht="12.5" spans="15:71">
      <c r="O694" s="226"/>
      <c r="P694" s="226"/>
      <c r="Z694" s="226"/>
      <c r="AA694" s="226"/>
      <c r="AK694" s="226"/>
      <c r="AL694" s="226"/>
      <c r="AV694" s="226"/>
      <c r="AW694" s="226"/>
      <c r="BG694" s="226"/>
      <c r="BH694" s="226"/>
      <c r="BR694" s="226"/>
      <c r="BS694" s="226"/>
    </row>
    <row r="695" ht="12.5" spans="15:71">
      <c r="O695" s="226"/>
      <c r="P695" s="226"/>
      <c r="Z695" s="226"/>
      <c r="AA695" s="226"/>
      <c r="AK695" s="226"/>
      <c r="AL695" s="226"/>
      <c r="AV695" s="226"/>
      <c r="AW695" s="226"/>
      <c r="BG695" s="226"/>
      <c r="BH695" s="226"/>
      <c r="BR695" s="226"/>
      <c r="BS695" s="226"/>
    </row>
    <row r="696" ht="12.5" spans="15:71">
      <c r="O696" s="226"/>
      <c r="P696" s="226"/>
      <c r="Z696" s="226"/>
      <c r="AA696" s="226"/>
      <c r="AK696" s="226"/>
      <c r="AL696" s="226"/>
      <c r="AV696" s="226"/>
      <c r="AW696" s="226"/>
      <c r="BG696" s="226"/>
      <c r="BH696" s="226"/>
      <c r="BR696" s="226"/>
      <c r="BS696" s="226"/>
    </row>
    <row r="697" ht="12.5" spans="15:71">
      <c r="O697" s="226"/>
      <c r="P697" s="226"/>
      <c r="Z697" s="226"/>
      <c r="AA697" s="226"/>
      <c r="AK697" s="226"/>
      <c r="AL697" s="226"/>
      <c r="AV697" s="226"/>
      <c r="AW697" s="226"/>
      <c r="BG697" s="226"/>
      <c r="BH697" s="226"/>
      <c r="BR697" s="226"/>
      <c r="BS697" s="226"/>
    </row>
    <row r="698" ht="12.5" spans="15:71">
      <c r="O698" s="226"/>
      <c r="P698" s="226"/>
      <c r="Z698" s="226"/>
      <c r="AA698" s="226"/>
      <c r="AK698" s="226"/>
      <c r="AL698" s="226"/>
      <c r="AV698" s="226"/>
      <c r="AW698" s="226"/>
      <c r="BG698" s="226"/>
      <c r="BH698" s="226"/>
      <c r="BR698" s="226"/>
      <c r="BS698" s="226"/>
    </row>
    <row r="699" ht="12.5" spans="15:71">
      <c r="O699" s="226"/>
      <c r="P699" s="226"/>
      <c r="Z699" s="226"/>
      <c r="AA699" s="226"/>
      <c r="AK699" s="226"/>
      <c r="AL699" s="226"/>
      <c r="AV699" s="226"/>
      <c r="AW699" s="226"/>
      <c r="BG699" s="226"/>
      <c r="BH699" s="226"/>
      <c r="BR699" s="226"/>
      <c r="BS699" s="226"/>
    </row>
    <row r="700" ht="12.5" spans="15:71">
      <c r="O700" s="226"/>
      <c r="P700" s="226"/>
      <c r="Z700" s="226"/>
      <c r="AA700" s="226"/>
      <c r="AK700" s="226"/>
      <c r="AL700" s="226"/>
      <c r="AV700" s="226"/>
      <c r="AW700" s="226"/>
      <c r="BG700" s="226"/>
      <c r="BH700" s="226"/>
      <c r="BR700" s="226"/>
      <c r="BS700" s="226"/>
    </row>
    <row r="701" ht="12.5" spans="15:71">
      <c r="O701" s="226"/>
      <c r="P701" s="226"/>
      <c r="Z701" s="226"/>
      <c r="AA701" s="226"/>
      <c r="AK701" s="226"/>
      <c r="AL701" s="226"/>
      <c r="AV701" s="226"/>
      <c r="AW701" s="226"/>
      <c r="BG701" s="226"/>
      <c r="BH701" s="226"/>
      <c r="BR701" s="226"/>
      <c r="BS701" s="226"/>
    </row>
    <row r="702" ht="12.5" spans="15:71">
      <c r="O702" s="226"/>
      <c r="P702" s="226"/>
      <c r="Z702" s="226"/>
      <c r="AA702" s="226"/>
      <c r="AK702" s="226"/>
      <c r="AL702" s="226"/>
      <c r="AV702" s="226"/>
      <c r="AW702" s="226"/>
      <c r="BG702" s="226"/>
      <c r="BH702" s="226"/>
      <c r="BR702" s="226"/>
      <c r="BS702" s="226"/>
    </row>
    <row r="703" ht="12.5" spans="15:71">
      <c r="O703" s="226"/>
      <c r="P703" s="226"/>
      <c r="Z703" s="226"/>
      <c r="AA703" s="226"/>
      <c r="AK703" s="226"/>
      <c r="AL703" s="226"/>
      <c r="AV703" s="226"/>
      <c r="AW703" s="226"/>
      <c r="BG703" s="226"/>
      <c r="BH703" s="226"/>
      <c r="BR703" s="226"/>
      <c r="BS703" s="226"/>
    </row>
    <row r="704" ht="12.5" spans="15:71">
      <c r="O704" s="226"/>
      <c r="P704" s="226"/>
      <c r="Z704" s="226"/>
      <c r="AA704" s="226"/>
      <c r="AK704" s="226"/>
      <c r="AL704" s="226"/>
      <c r="AV704" s="226"/>
      <c r="AW704" s="226"/>
      <c r="BG704" s="226"/>
      <c r="BH704" s="226"/>
      <c r="BR704" s="226"/>
      <c r="BS704" s="226"/>
    </row>
    <row r="705" ht="12.5" spans="15:71">
      <c r="O705" s="226"/>
      <c r="P705" s="226"/>
      <c r="Z705" s="226"/>
      <c r="AA705" s="226"/>
      <c r="AK705" s="226"/>
      <c r="AL705" s="226"/>
      <c r="AV705" s="226"/>
      <c r="AW705" s="226"/>
      <c r="BG705" s="226"/>
      <c r="BH705" s="226"/>
      <c r="BR705" s="226"/>
      <c r="BS705" s="226"/>
    </row>
    <row r="706" ht="12.5" spans="15:71">
      <c r="O706" s="226"/>
      <c r="P706" s="226"/>
      <c r="Z706" s="226"/>
      <c r="AA706" s="226"/>
      <c r="AK706" s="226"/>
      <c r="AL706" s="226"/>
      <c r="AV706" s="226"/>
      <c r="AW706" s="226"/>
      <c r="BG706" s="226"/>
      <c r="BH706" s="226"/>
      <c r="BR706" s="226"/>
      <c r="BS706" s="226"/>
    </row>
    <row r="707" ht="12.5" spans="15:71">
      <c r="O707" s="226"/>
      <c r="P707" s="226"/>
      <c r="Z707" s="226"/>
      <c r="AA707" s="226"/>
      <c r="AK707" s="226"/>
      <c r="AL707" s="226"/>
      <c r="AV707" s="226"/>
      <c r="AW707" s="226"/>
      <c r="BG707" s="226"/>
      <c r="BH707" s="226"/>
      <c r="BR707" s="226"/>
      <c r="BS707" s="226"/>
    </row>
    <row r="708" ht="12.5" spans="15:71">
      <c r="O708" s="226"/>
      <c r="P708" s="226"/>
      <c r="Z708" s="226"/>
      <c r="AA708" s="226"/>
      <c r="AK708" s="226"/>
      <c r="AL708" s="226"/>
      <c r="AV708" s="226"/>
      <c r="AW708" s="226"/>
      <c r="BG708" s="226"/>
      <c r="BH708" s="226"/>
      <c r="BR708" s="226"/>
      <c r="BS708" s="226"/>
    </row>
    <row r="709" ht="12.5" spans="15:71">
      <c r="O709" s="226"/>
      <c r="P709" s="226"/>
      <c r="Z709" s="226"/>
      <c r="AA709" s="226"/>
      <c r="AK709" s="226"/>
      <c r="AL709" s="226"/>
      <c r="AV709" s="226"/>
      <c r="AW709" s="226"/>
      <c r="BG709" s="226"/>
      <c r="BH709" s="226"/>
      <c r="BR709" s="226"/>
      <c r="BS709" s="226"/>
    </row>
    <row r="710" ht="12.5" spans="15:71">
      <c r="O710" s="226"/>
      <c r="P710" s="226"/>
      <c r="Z710" s="226"/>
      <c r="AA710" s="226"/>
      <c r="AK710" s="226"/>
      <c r="AL710" s="226"/>
      <c r="AV710" s="226"/>
      <c r="AW710" s="226"/>
      <c r="BG710" s="226"/>
      <c r="BH710" s="226"/>
      <c r="BR710" s="226"/>
      <c r="BS710" s="226"/>
    </row>
    <row r="711" ht="12.5" spans="15:71">
      <c r="O711" s="226"/>
      <c r="P711" s="226"/>
      <c r="Z711" s="226"/>
      <c r="AA711" s="226"/>
      <c r="AK711" s="226"/>
      <c r="AL711" s="226"/>
      <c r="AV711" s="226"/>
      <c r="AW711" s="226"/>
      <c r="BG711" s="226"/>
      <c r="BH711" s="226"/>
      <c r="BR711" s="226"/>
      <c r="BS711" s="226"/>
    </row>
    <row r="712" ht="12.5" spans="15:71">
      <c r="O712" s="226"/>
      <c r="P712" s="226"/>
      <c r="Z712" s="226"/>
      <c r="AA712" s="226"/>
      <c r="AK712" s="226"/>
      <c r="AL712" s="226"/>
      <c r="AV712" s="226"/>
      <c r="AW712" s="226"/>
      <c r="BG712" s="226"/>
      <c r="BH712" s="226"/>
      <c r="BR712" s="226"/>
      <c r="BS712" s="226"/>
    </row>
    <row r="713" ht="12.5" spans="15:71">
      <c r="O713" s="226"/>
      <c r="P713" s="226"/>
      <c r="Z713" s="226"/>
      <c r="AA713" s="226"/>
      <c r="AK713" s="226"/>
      <c r="AL713" s="226"/>
      <c r="AV713" s="226"/>
      <c r="AW713" s="226"/>
      <c r="BG713" s="226"/>
      <c r="BH713" s="226"/>
      <c r="BR713" s="226"/>
      <c r="BS713" s="226"/>
    </row>
    <row r="714" ht="12.5" spans="15:71">
      <c r="O714" s="226"/>
      <c r="P714" s="226"/>
      <c r="Z714" s="226"/>
      <c r="AA714" s="226"/>
      <c r="AK714" s="226"/>
      <c r="AL714" s="226"/>
      <c r="AV714" s="226"/>
      <c r="AW714" s="226"/>
      <c r="BG714" s="226"/>
      <c r="BH714" s="226"/>
      <c r="BR714" s="226"/>
      <c r="BS714" s="226"/>
    </row>
    <row r="715" ht="12.5" spans="15:71">
      <c r="O715" s="226"/>
      <c r="P715" s="226"/>
      <c r="Z715" s="226"/>
      <c r="AA715" s="226"/>
      <c r="AK715" s="226"/>
      <c r="AL715" s="226"/>
      <c r="AV715" s="226"/>
      <c r="AW715" s="226"/>
      <c r="BG715" s="226"/>
      <c r="BH715" s="226"/>
      <c r="BR715" s="226"/>
      <c r="BS715" s="226"/>
    </row>
    <row r="716" ht="12.5" spans="15:71">
      <c r="O716" s="226"/>
      <c r="P716" s="226"/>
      <c r="Z716" s="226"/>
      <c r="AA716" s="226"/>
      <c r="AK716" s="226"/>
      <c r="AL716" s="226"/>
      <c r="AV716" s="226"/>
      <c r="AW716" s="226"/>
      <c r="BG716" s="226"/>
      <c r="BH716" s="226"/>
      <c r="BR716" s="226"/>
      <c r="BS716" s="226"/>
    </row>
    <row r="717" ht="12.5" spans="15:71">
      <c r="O717" s="226"/>
      <c r="P717" s="226"/>
      <c r="Z717" s="226"/>
      <c r="AA717" s="226"/>
      <c r="AK717" s="226"/>
      <c r="AL717" s="226"/>
      <c r="AV717" s="226"/>
      <c r="AW717" s="226"/>
      <c r="BG717" s="226"/>
      <c r="BH717" s="226"/>
      <c r="BR717" s="226"/>
      <c r="BS717" s="226"/>
    </row>
    <row r="718" ht="12.5" spans="15:71">
      <c r="O718" s="226"/>
      <c r="P718" s="226"/>
      <c r="Z718" s="226"/>
      <c r="AA718" s="226"/>
      <c r="AK718" s="226"/>
      <c r="AL718" s="226"/>
      <c r="AV718" s="226"/>
      <c r="AW718" s="226"/>
      <c r="BG718" s="226"/>
      <c r="BH718" s="226"/>
      <c r="BR718" s="226"/>
      <c r="BS718" s="226"/>
    </row>
    <row r="719" ht="12.5" spans="15:71">
      <c r="O719" s="226"/>
      <c r="P719" s="226"/>
      <c r="Z719" s="226"/>
      <c r="AA719" s="226"/>
      <c r="AK719" s="226"/>
      <c r="AL719" s="226"/>
      <c r="AV719" s="226"/>
      <c r="AW719" s="226"/>
      <c r="BG719" s="226"/>
      <c r="BH719" s="226"/>
      <c r="BR719" s="226"/>
      <c r="BS719" s="226"/>
    </row>
    <row r="720" ht="12.5" spans="15:71">
      <c r="O720" s="226"/>
      <c r="P720" s="226"/>
      <c r="Z720" s="226"/>
      <c r="AA720" s="226"/>
      <c r="AK720" s="226"/>
      <c r="AL720" s="226"/>
      <c r="AV720" s="226"/>
      <c r="AW720" s="226"/>
      <c r="BG720" s="226"/>
      <c r="BH720" s="226"/>
      <c r="BR720" s="226"/>
      <c r="BS720" s="226"/>
    </row>
    <row r="721" ht="12.5" spans="15:71">
      <c r="O721" s="226"/>
      <c r="P721" s="226"/>
      <c r="Z721" s="226"/>
      <c r="AA721" s="226"/>
      <c r="AK721" s="226"/>
      <c r="AL721" s="226"/>
      <c r="AV721" s="226"/>
      <c r="AW721" s="226"/>
      <c r="BG721" s="226"/>
      <c r="BH721" s="226"/>
      <c r="BR721" s="226"/>
      <c r="BS721" s="226"/>
    </row>
    <row r="722" ht="12.5" spans="15:71">
      <c r="O722" s="226"/>
      <c r="P722" s="226"/>
      <c r="Z722" s="226"/>
      <c r="AA722" s="226"/>
      <c r="AK722" s="226"/>
      <c r="AL722" s="226"/>
      <c r="AV722" s="226"/>
      <c r="AW722" s="226"/>
      <c r="BG722" s="226"/>
      <c r="BH722" s="226"/>
      <c r="BR722" s="226"/>
      <c r="BS722" s="226"/>
    </row>
    <row r="723" ht="12.5" spans="15:71">
      <c r="O723" s="226"/>
      <c r="P723" s="226"/>
      <c r="Z723" s="226"/>
      <c r="AA723" s="226"/>
      <c r="AK723" s="226"/>
      <c r="AL723" s="226"/>
      <c r="AV723" s="226"/>
      <c r="AW723" s="226"/>
      <c r="BG723" s="226"/>
      <c r="BH723" s="226"/>
      <c r="BR723" s="226"/>
      <c r="BS723" s="226"/>
    </row>
    <row r="724" ht="12.5" spans="15:71">
      <c r="O724" s="226"/>
      <c r="P724" s="226"/>
      <c r="Z724" s="226"/>
      <c r="AA724" s="226"/>
      <c r="AK724" s="226"/>
      <c r="AL724" s="226"/>
      <c r="AV724" s="226"/>
      <c r="AW724" s="226"/>
      <c r="BG724" s="226"/>
      <c r="BH724" s="226"/>
      <c r="BR724" s="226"/>
      <c r="BS724" s="226"/>
    </row>
    <row r="725" ht="12.5" spans="15:71">
      <c r="O725" s="226"/>
      <c r="P725" s="226"/>
      <c r="Z725" s="226"/>
      <c r="AA725" s="226"/>
      <c r="AK725" s="226"/>
      <c r="AL725" s="226"/>
      <c r="AV725" s="226"/>
      <c r="AW725" s="226"/>
      <c r="BG725" s="226"/>
      <c r="BH725" s="226"/>
      <c r="BR725" s="226"/>
      <c r="BS725" s="226"/>
    </row>
    <row r="726" ht="12.5" spans="15:71">
      <c r="O726" s="226"/>
      <c r="P726" s="226"/>
      <c r="Z726" s="226"/>
      <c r="AA726" s="226"/>
      <c r="AK726" s="226"/>
      <c r="AL726" s="226"/>
      <c r="AV726" s="226"/>
      <c r="AW726" s="226"/>
      <c r="BG726" s="226"/>
      <c r="BH726" s="226"/>
      <c r="BR726" s="226"/>
      <c r="BS726" s="226"/>
    </row>
    <row r="727" ht="12.5" spans="15:71">
      <c r="O727" s="226"/>
      <c r="P727" s="226"/>
      <c r="Z727" s="226"/>
      <c r="AA727" s="226"/>
      <c r="AK727" s="226"/>
      <c r="AL727" s="226"/>
      <c r="AV727" s="226"/>
      <c r="AW727" s="226"/>
      <c r="BG727" s="226"/>
      <c r="BH727" s="226"/>
      <c r="BR727" s="226"/>
      <c r="BS727" s="226"/>
    </row>
    <row r="728" ht="12.5" spans="15:71">
      <c r="O728" s="226"/>
      <c r="P728" s="226"/>
      <c r="Z728" s="226"/>
      <c r="AA728" s="226"/>
      <c r="AK728" s="226"/>
      <c r="AL728" s="226"/>
      <c r="AV728" s="226"/>
      <c r="AW728" s="226"/>
      <c r="BG728" s="226"/>
      <c r="BH728" s="226"/>
      <c r="BR728" s="226"/>
      <c r="BS728" s="226"/>
    </row>
    <row r="729" ht="12.5" spans="15:71">
      <c r="O729" s="226"/>
      <c r="P729" s="226"/>
      <c r="Z729" s="226"/>
      <c r="AA729" s="226"/>
      <c r="AK729" s="226"/>
      <c r="AL729" s="226"/>
      <c r="AV729" s="226"/>
      <c r="AW729" s="226"/>
      <c r="BG729" s="226"/>
      <c r="BH729" s="226"/>
      <c r="BR729" s="226"/>
      <c r="BS729" s="226"/>
    </row>
    <row r="730" ht="12.5" spans="15:71">
      <c r="O730" s="226"/>
      <c r="P730" s="226"/>
      <c r="Z730" s="226"/>
      <c r="AA730" s="226"/>
      <c r="AK730" s="226"/>
      <c r="AL730" s="226"/>
      <c r="AV730" s="226"/>
      <c r="AW730" s="226"/>
      <c r="BG730" s="226"/>
      <c r="BH730" s="226"/>
      <c r="BR730" s="226"/>
      <c r="BS730" s="226"/>
    </row>
    <row r="731" ht="12.5" spans="15:71">
      <c r="O731" s="226"/>
      <c r="P731" s="226"/>
      <c r="Z731" s="226"/>
      <c r="AA731" s="226"/>
      <c r="AK731" s="226"/>
      <c r="AL731" s="226"/>
      <c r="AV731" s="226"/>
      <c r="AW731" s="226"/>
      <c r="BG731" s="226"/>
      <c r="BH731" s="226"/>
      <c r="BR731" s="226"/>
      <c r="BS731" s="226"/>
    </row>
    <row r="732" ht="12.5" spans="15:71">
      <c r="O732" s="226"/>
      <c r="P732" s="226"/>
      <c r="Z732" s="226"/>
      <c r="AA732" s="226"/>
      <c r="AK732" s="226"/>
      <c r="AL732" s="226"/>
      <c r="AV732" s="226"/>
      <c r="AW732" s="226"/>
      <c r="BG732" s="226"/>
      <c r="BH732" s="226"/>
      <c r="BR732" s="226"/>
      <c r="BS732" s="226"/>
    </row>
    <row r="733" ht="12.5" spans="15:71">
      <c r="O733" s="226"/>
      <c r="P733" s="226"/>
      <c r="Z733" s="226"/>
      <c r="AA733" s="226"/>
      <c r="AK733" s="226"/>
      <c r="AL733" s="226"/>
      <c r="AV733" s="226"/>
      <c r="AW733" s="226"/>
      <c r="BG733" s="226"/>
      <c r="BH733" s="226"/>
      <c r="BR733" s="226"/>
      <c r="BS733" s="226"/>
    </row>
    <row r="734" ht="12.5" spans="15:71">
      <c r="O734" s="226"/>
      <c r="P734" s="226"/>
      <c r="Z734" s="226"/>
      <c r="AA734" s="226"/>
      <c r="AK734" s="226"/>
      <c r="AL734" s="226"/>
      <c r="AV734" s="226"/>
      <c r="AW734" s="226"/>
      <c r="BG734" s="226"/>
      <c r="BH734" s="226"/>
      <c r="BR734" s="226"/>
      <c r="BS734" s="226"/>
    </row>
    <row r="735" ht="12.5" spans="15:71">
      <c r="O735" s="226"/>
      <c r="P735" s="226"/>
      <c r="Z735" s="226"/>
      <c r="AA735" s="226"/>
      <c r="AK735" s="226"/>
      <c r="AL735" s="226"/>
      <c r="AV735" s="226"/>
      <c r="AW735" s="226"/>
      <c r="BG735" s="226"/>
      <c r="BH735" s="226"/>
      <c r="BR735" s="226"/>
      <c r="BS735" s="226"/>
    </row>
    <row r="736" ht="12.5" spans="15:71">
      <c r="O736" s="226"/>
      <c r="P736" s="226"/>
      <c r="Z736" s="226"/>
      <c r="AA736" s="226"/>
      <c r="AK736" s="226"/>
      <c r="AL736" s="226"/>
      <c r="AV736" s="226"/>
      <c r="AW736" s="226"/>
      <c r="BG736" s="226"/>
      <c r="BH736" s="226"/>
      <c r="BR736" s="226"/>
      <c r="BS736" s="226"/>
    </row>
    <row r="737" ht="12.5" spans="15:71">
      <c r="O737" s="226"/>
      <c r="P737" s="226"/>
      <c r="Z737" s="226"/>
      <c r="AA737" s="226"/>
      <c r="AK737" s="226"/>
      <c r="AL737" s="226"/>
      <c r="AV737" s="226"/>
      <c r="AW737" s="226"/>
      <c r="BG737" s="226"/>
      <c r="BH737" s="226"/>
      <c r="BR737" s="226"/>
      <c r="BS737" s="226"/>
    </row>
    <row r="738" ht="12.5" spans="15:71">
      <c r="O738" s="226"/>
      <c r="P738" s="226"/>
      <c r="Z738" s="226"/>
      <c r="AA738" s="226"/>
      <c r="AK738" s="226"/>
      <c r="AL738" s="226"/>
      <c r="AV738" s="226"/>
      <c r="AW738" s="226"/>
      <c r="BG738" s="226"/>
      <c r="BH738" s="226"/>
      <c r="BR738" s="226"/>
      <c r="BS738" s="226"/>
    </row>
    <row r="739" ht="12.5" spans="15:71">
      <c r="O739" s="226"/>
      <c r="P739" s="226"/>
      <c r="Z739" s="226"/>
      <c r="AA739" s="226"/>
      <c r="AK739" s="226"/>
      <c r="AL739" s="226"/>
      <c r="AV739" s="226"/>
      <c r="AW739" s="226"/>
      <c r="BG739" s="226"/>
      <c r="BH739" s="226"/>
      <c r="BR739" s="226"/>
      <c r="BS739" s="226"/>
    </row>
    <row r="740" ht="12.5" spans="15:71">
      <c r="O740" s="226"/>
      <c r="P740" s="226"/>
      <c r="Z740" s="226"/>
      <c r="AA740" s="226"/>
      <c r="AK740" s="226"/>
      <c r="AL740" s="226"/>
      <c r="AV740" s="226"/>
      <c r="AW740" s="226"/>
      <c r="BG740" s="226"/>
      <c r="BH740" s="226"/>
      <c r="BR740" s="226"/>
      <c r="BS740" s="226"/>
    </row>
    <row r="741" ht="12.5" spans="15:71">
      <c r="O741" s="226"/>
      <c r="P741" s="226"/>
      <c r="Z741" s="226"/>
      <c r="AA741" s="226"/>
      <c r="AK741" s="226"/>
      <c r="AL741" s="226"/>
      <c r="AV741" s="226"/>
      <c r="AW741" s="226"/>
      <c r="BG741" s="226"/>
      <c r="BH741" s="226"/>
      <c r="BR741" s="226"/>
      <c r="BS741" s="226"/>
    </row>
    <row r="742" ht="12.5" spans="15:71">
      <c r="O742" s="226"/>
      <c r="P742" s="226"/>
      <c r="Z742" s="226"/>
      <c r="AA742" s="226"/>
      <c r="AK742" s="226"/>
      <c r="AL742" s="226"/>
      <c r="AV742" s="226"/>
      <c r="AW742" s="226"/>
      <c r="BG742" s="226"/>
      <c r="BH742" s="226"/>
      <c r="BR742" s="226"/>
      <c r="BS742" s="226"/>
    </row>
    <row r="743" ht="12.5" spans="15:71">
      <c r="O743" s="226"/>
      <c r="P743" s="226"/>
      <c r="Z743" s="226"/>
      <c r="AA743" s="226"/>
      <c r="AK743" s="226"/>
      <c r="AL743" s="226"/>
      <c r="AV743" s="226"/>
      <c r="AW743" s="226"/>
      <c r="BG743" s="226"/>
      <c r="BH743" s="226"/>
      <c r="BR743" s="226"/>
      <c r="BS743" s="226"/>
    </row>
    <row r="744" ht="12.5" spans="15:71">
      <c r="O744" s="226"/>
      <c r="P744" s="226"/>
      <c r="Z744" s="226"/>
      <c r="AA744" s="226"/>
      <c r="AK744" s="226"/>
      <c r="AL744" s="226"/>
      <c r="AV744" s="226"/>
      <c r="AW744" s="226"/>
      <c r="BG744" s="226"/>
      <c r="BH744" s="226"/>
      <c r="BR744" s="226"/>
      <c r="BS744" s="226"/>
    </row>
    <row r="745" ht="12.5" spans="15:71">
      <c r="O745" s="226"/>
      <c r="P745" s="226"/>
      <c r="Z745" s="226"/>
      <c r="AA745" s="226"/>
      <c r="AK745" s="226"/>
      <c r="AL745" s="226"/>
      <c r="AV745" s="226"/>
      <c r="AW745" s="226"/>
      <c r="BG745" s="226"/>
      <c r="BH745" s="226"/>
      <c r="BR745" s="226"/>
      <c r="BS745" s="226"/>
    </row>
    <row r="746" ht="12.5" spans="15:71">
      <c r="O746" s="226"/>
      <c r="P746" s="226"/>
      <c r="Z746" s="226"/>
      <c r="AA746" s="226"/>
      <c r="AK746" s="226"/>
      <c r="AL746" s="226"/>
      <c r="AV746" s="226"/>
      <c r="AW746" s="226"/>
      <c r="BG746" s="226"/>
      <c r="BH746" s="226"/>
      <c r="BR746" s="226"/>
      <c r="BS746" s="226"/>
    </row>
    <row r="747" ht="12.5" spans="15:71">
      <c r="O747" s="226"/>
      <c r="P747" s="226"/>
      <c r="Z747" s="226"/>
      <c r="AA747" s="226"/>
      <c r="AK747" s="226"/>
      <c r="AL747" s="226"/>
      <c r="AV747" s="226"/>
      <c r="AW747" s="226"/>
      <c r="BG747" s="226"/>
      <c r="BH747" s="226"/>
      <c r="BR747" s="226"/>
      <c r="BS747" s="226"/>
    </row>
    <row r="748" ht="12.5" spans="15:71">
      <c r="O748" s="226"/>
      <c r="P748" s="226"/>
      <c r="Z748" s="226"/>
      <c r="AA748" s="226"/>
      <c r="AK748" s="226"/>
      <c r="AL748" s="226"/>
      <c r="AV748" s="226"/>
      <c r="AW748" s="226"/>
      <c r="BG748" s="226"/>
      <c r="BH748" s="226"/>
      <c r="BR748" s="226"/>
      <c r="BS748" s="226"/>
    </row>
    <row r="749" ht="12.5" spans="15:71">
      <c r="O749" s="226"/>
      <c r="P749" s="226"/>
      <c r="Z749" s="226"/>
      <c r="AA749" s="226"/>
      <c r="AK749" s="226"/>
      <c r="AL749" s="226"/>
      <c r="AV749" s="226"/>
      <c r="AW749" s="226"/>
      <c r="BG749" s="226"/>
      <c r="BH749" s="226"/>
      <c r="BR749" s="226"/>
      <c r="BS749" s="226"/>
    </row>
    <row r="750" ht="12.5" spans="15:71">
      <c r="O750" s="226"/>
      <c r="P750" s="226"/>
      <c r="Z750" s="226"/>
      <c r="AA750" s="226"/>
      <c r="AK750" s="226"/>
      <c r="AL750" s="226"/>
      <c r="AV750" s="226"/>
      <c r="AW750" s="226"/>
      <c r="BG750" s="226"/>
      <c r="BH750" s="226"/>
      <c r="BR750" s="226"/>
      <c r="BS750" s="226"/>
    </row>
    <row r="751" ht="12.5" spans="15:71">
      <c r="O751" s="226"/>
      <c r="P751" s="226"/>
      <c r="Z751" s="226"/>
      <c r="AA751" s="226"/>
      <c r="AK751" s="226"/>
      <c r="AL751" s="226"/>
      <c r="AV751" s="226"/>
      <c r="AW751" s="226"/>
      <c r="BG751" s="226"/>
      <c r="BH751" s="226"/>
      <c r="BR751" s="226"/>
      <c r="BS751" s="226"/>
    </row>
    <row r="752" ht="12.5" spans="15:71">
      <c r="O752" s="226"/>
      <c r="P752" s="226"/>
      <c r="Z752" s="226"/>
      <c r="AA752" s="226"/>
      <c r="AK752" s="226"/>
      <c r="AL752" s="226"/>
      <c r="AV752" s="226"/>
      <c r="AW752" s="226"/>
      <c r="BG752" s="226"/>
      <c r="BH752" s="226"/>
      <c r="BR752" s="226"/>
      <c r="BS752" s="226"/>
    </row>
    <row r="753" ht="12.5" spans="15:71">
      <c r="O753" s="226"/>
      <c r="P753" s="226"/>
      <c r="Z753" s="226"/>
      <c r="AA753" s="226"/>
      <c r="AK753" s="226"/>
      <c r="AL753" s="226"/>
      <c r="AV753" s="226"/>
      <c r="AW753" s="226"/>
      <c r="BG753" s="226"/>
      <c r="BH753" s="226"/>
      <c r="BR753" s="226"/>
      <c r="BS753" s="226"/>
    </row>
    <row r="754" ht="12.5" spans="15:71">
      <c r="O754" s="226"/>
      <c r="P754" s="226"/>
      <c r="Z754" s="226"/>
      <c r="AA754" s="226"/>
      <c r="AK754" s="226"/>
      <c r="AL754" s="226"/>
      <c r="AV754" s="226"/>
      <c r="AW754" s="226"/>
      <c r="BG754" s="226"/>
      <c r="BH754" s="226"/>
      <c r="BR754" s="226"/>
      <c r="BS754" s="226"/>
    </row>
    <row r="755" ht="12.5" spans="15:71">
      <c r="O755" s="226"/>
      <c r="P755" s="226"/>
      <c r="Z755" s="226"/>
      <c r="AA755" s="226"/>
      <c r="AK755" s="226"/>
      <c r="AL755" s="226"/>
      <c r="AV755" s="226"/>
      <c r="AW755" s="226"/>
      <c r="BG755" s="226"/>
      <c r="BH755" s="226"/>
      <c r="BR755" s="226"/>
      <c r="BS755" s="226"/>
    </row>
    <row r="756" ht="12.5" spans="15:71">
      <c r="O756" s="226"/>
      <c r="P756" s="226"/>
      <c r="Z756" s="226"/>
      <c r="AA756" s="226"/>
      <c r="AK756" s="226"/>
      <c r="AL756" s="226"/>
      <c r="AV756" s="226"/>
      <c r="AW756" s="226"/>
      <c r="BG756" s="226"/>
      <c r="BH756" s="226"/>
      <c r="BR756" s="226"/>
      <c r="BS756" s="226"/>
    </row>
    <row r="757" ht="12.5" spans="15:71">
      <c r="O757" s="226"/>
      <c r="P757" s="226"/>
      <c r="Z757" s="226"/>
      <c r="AA757" s="226"/>
      <c r="AK757" s="226"/>
      <c r="AL757" s="226"/>
      <c r="AV757" s="226"/>
      <c r="AW757" s="226"/>
      <c r="BG757" s="226"/>
      <c r="BH757" s="226"/>
      <c r="BR757" s="226"/>
      <c r="BS757" s="226"/>
    </row>
    <row r="758" ht="12.5" spans="15:71">
      <c r="O758" s="226"/>
      <c r="P758" s="226"/>
      <c r="Z758" s="226"/>
      <c r="AA758" s="226"/>
      <c r="AK758" s="226"/>
      <c r="AL758" s="226"/>
      <c r="AV758" s="226"/>
      <c r="AW758" s="226"/>
      <c r="BG758" s="226"/>
      <c r="BH758" s="226"/>
      <c r="BR758" s="226"/>
      <c r="BS758" s="226"/>
    </row>
    <row r="759" ht="12.5" spans="15:71">
      <c r="O759" s="226"/>
      <c r="P759" s="226"/>
      <c r="Z759" s="226"/>
      <c r="AA759" s="226"/>
      <c r="AK759" s="226"/>
      <c r="AL759" s="226"/>
      <c r="AV759" s="226"/>
      <c r="AW759" s="226"/>
      <c r="BG759" s="226"/>
      <c r="BH759" s="226"/>
      <c r="BR759" s="226"/>
      <c r="BS759" s="226"/>
    </row>
    <row r="760" ht="12.5" spans="15:71">
      <c r="O760" s="226"/>
      <c r="P760" s="226"/>
      <c r="Z760" s="226"/>
      <c r="AA760" s="226"/>
      <c r="AK760" s="226"/>
      <c r="AL760" s="226"/>
      <c r="AV760" s="226"/>
      <c r="AW760" s="226"/>
      <c r="BG760" s="226"/>
      <c r="BH760" s="226"/>
      <c r="BR760" s="226"/>
      <c r="BS760" s="226"/>
    </row>
    <row r="761" ht="12.5" spans="15:71">
      <c r="O761" s="226"/>
      <c r="P761" s="226"/>
      <c r="Z761" s="226"/>
      <c r="AA761" s="226"/>
      <c r="AK761" s="226"/>
      <c r="AL761" s="226"/>
      <c r="AV761" s="226"/>
      <c r="AW761" s="226"/>
      <c r="BG761" s="226"/>
      <c r="BH761" s="226"/>
      <c r="BR761" s="226"/>
      <c r="BS761" s="226"/>
    </row>
    <row r="762" ht="12.5" spans="15:71">
      <c r="O762" s="226"/>
      <c r="P762" s="226"/>
      <c r="Z762" s="226"/>
      <c r="AA762" s="226"/>
      <c r="AK762" s="226"/>
      <c r="AL762" s="226"/>
      <c r="AV762" s="226"/>
      <c r="AW762" s="226"/>
      <c r="BG762" s="226"/>
      <c r="BH762" s="226"/>
      <c r="BR762" s="226"/>
      <c r="BS762" s="226"/>
    </row>
    <row r="763" ht="12.5" spans="15:71">
      <c r="O763" s="226"/>
      <c r="P763" s="226"/>
      <c r="Z763" s="226"/>
      <c r="AA763" s="226"/>
      <c r="AK763" s="226"/>
      <c r="AL763" s="226"/>
      <c r="AV763" s="226"/>
      <c r="AW763" s="226"/>
      <c r="BG763" s="226"/>
      <c r="BH763" s="226"/>
      <c r="BR763" s="226"/>
      <c r="BS763" s="226"/>
    </row>
    <row r="764" ht="12.5" spans="15:71">
      <c r="O764" s="226"/>
      <c r="P764" s="226"/>
      <c r="Z764" s="226"/>
      <c r="AA764" s="226"/>
      <c r="AK764" s="226"/>
      <c r="AL764" s="226"/>
      <c r="AV764" s="226"/>
      <c r="AW764" s="226"/>
      <c r="BG764" s="226"/>
      <c r="BH764" s="226"/>
      <c r="BR764" s="226"/>
      <c r="BS764" s="226"/>
    </row>
    <row r="765" ht="12.5" spans="15:71">
      <c r="O765" s="226"/>
      <c r="P765" s="226"/>
      <c r="Z765" s="226"/>
      <c r="AA765" s="226"/>
      <c r="AK765" s="226"/>
      <c r="AL765" s="226"/>
      <c r="AV765" s="226"/>
      <c r="AW765" s="226"/>
      <c r="BG765" s="226"/>
      <c r="BH765" s="226"/>
      <c r="BR765" s="226"/>
      <c r="BS765" s="226"/>
    </row>
    <row r="766" ht="12.5" spans="15:71">
      <c r="O766" s="226"/>
      <c r="P766" s="226"/>
      <c r="Z766" s="226"/>
      <c r="AA766" s="226"/>
      <c r="AK766" s="226"/>
      <c r="AL766" s="226"/>
      <c r="AV766" s="226"/>
      <c r="AW766" s="226"/>
      <c r="BG766" s="226"/>
      <c r="BH766" s="226"/>
      <c r="BR766" s="226"/>
      <c r="BS766" s="226"/>
    </row>
    <row r="767" ht="12.5" spans="15:71">
      <c r="O767" s="226"/>
      <c r="P767" s="226"/>
      <c r="Z767" s="226"/>
      <c r="AA767" s="226"/>
      <c r="AK767" s="226"/>
      <c r="AL767" s="226"/>
      <c r="AV767" s="226"/>
      <c r="AW767" s="226"/>
      <c r="BG767" s="226"/>
      <c r="BH767" s="226"/>
      <c r="BR767" s="226"/>
      <c r="BS767" s="226"/>
    </row>
    <row r="768" ht="12.5" spans="15:71">
      <c r="O768" s="226"/>
      <c r="P768" s="226"/>
      <c r="Z768" s="226"/>
      <c r="AA768" s="226"/>
      <c r="AK768" s="226"/>
      <c r="AL768" s="226"/>
      <c r="AV768" s="226"/>
      <c r="AW768" s="226"/>
      <c r="BG768" s="226"/>
      <c r="BH768" s="226"/>
      <c r="BR768" s="226"/>
      <c r="BS768" s="226"/>
    </row>
    <row r="769" ht="12.5" spans="15:71">
      <c r="O769" s="226"/>
      <c r="P769" s="226"/>
      <c r="Z769" s="226"/>
      <c r="AA769" s="226"/>
      <c r="AK769" s="226"/>
      <c r="AL769" s="226"/>
      <c r="AV769" s="226"/>
      <c r="AW769" s="226"/>
      <c r="BG769" s="226"/>
      <c r="BH769" s="226"/>
      <c r="BR769" s="226"/>
      <c r="BS769" s="226"/>
    </row>
    <row r="770" ht="12.5" spans="15:71">
      <c r="O770" s="226"/>
      <c r="P770" s="226"/>
      <c r="Z770" s="226"/>
      <c r="AA770" s="226"/>
      <c r="AK770" s="226"/>
      <c r="AL770" s="226"/>
      <c r="AV770" s="226"/>
      <c r="AW770" s="226"/>
      <c r="BG770" s="226"/>
      <c r="BH770" s="226"/>
      <c r="BR770" s="226"/>
      <c r="BS770" s="226"/>
    </row>
    <row r="771" ht="12.5" spans="15:71">
      <c r="O771" s="226"/>
      <c r="P771" s="226"/>
      <c r="Z771" s="226"/>
      <c r="AA771" s="226"/>
      <c r="AK771" s="226"/>
      <c r="AL771" s="226"/>
      <c r="AV771" s="226"/>
      <c r="AW771" s="226"/>
      <c r="BG771" s="226"/>
      <c r="BH771" s="226"/>
      <c r="BR771" s="226"/>
      <c r="BS771" s="226"/>
    </row>
    <row r="772" ht="12.5" spans="15:71">
      <c r="O772" s="226"/>
      <c r="P772" s="226"/>
      <c r="Z772" s="226"/>
      <c r="AA772" s="226"/>
      <c r="AK772" s="226"/>
      <c r="AL772" s="226"/>
      <c r="AV772" s="226"/>
      <c r="AW772" s="226"/>
      <c r="BG772" s="226"/>
      <c r="BH772" s="226"/>
      <c r="BR772" s="226"/>
      <c r="BS772" s="226"/>
    </row>
    <row r="773" ht="12.5" spans="15:71">
      <c r="O773" s="226"/>
      <c r="P773" s="226"/>
      <c r="Z773" s="226"/>
      <c r="AA773" s="226"/>
      <c r="AK773" s="226"/>
      <c r="AL773" s="226"/>
      <c r="AV773" s="226"/>
      <c r="AW773" s="226"/>
      <c r="BG773" s="226"/>
      <c r="BH773" s="226"/>
      <c r="BR773" s="226"/>
      <c r="BS773" s="226"/>
    </row>
    <row r="774" ht="12.5" spans="15:71">
      <c r="O774" s="226"/>
      <c r="P774" s="226"/>
      <c r="Z774" s="226"/>
      <c r="AA774" s="226"/>
      <c r="AK774" s="226"/>
      <c r="AL774" s="226"/>
      <c r="AV774" s="226"/>
      <c r="AW774" s="226"/>
      <c r="BG774" s="226"/>
      <c r="BH774" s="226"/>
      <c r="BR774" s="226"/>
      <c r="BS774" s="226"/>
    </row>
    <row r="775" ht="12.5" spans="15:71">
      <c r="O775" s="226"/>
      <c r="P775" s="226"/>
      <c r="Z775" s="226"/>
      <c r="AA775" s="226"/>
      <c r="AK775" s="226"/>
      <c r="AL775" s="226"/>
      <c r="AV775" s="226"/>
      <c r="AW775" s="226"/>
      <c r="BG775" s="226"/>
      <c r="BH775" s="226"/>
      <c r="BR775" s="226"/>
      <c r="BS775" s="226"/>
    </row>
    <row r="776" ht="12.5" spans="15:71">
      <c r="O776" s="226"/>
      <c r="P776" s="226"/>
      <c r="Z776" s="226"/>
      <c r="AA776" s="226"/>
      <c r="AK776" s="226"/>
      <c r="AL776" s="226"/>
      <c r="AV776" s="226"/>
      <c r="AW776" s="226"/>
      <c r="BG776" s="226"/>
      <c r="BH776" s="226"/>
      <c r="BR776" s="226"/>
      <c r="BS776" s="226"/>
    </row>
    <row r="777" ht="12.5" spans="15:71">
      <c r="O777" s="226"/>
      <c r="P777" s="226"/>
      <c r="Z777" s="226"/>
      <c r="AA777" s="226"/>
      <c r="AK777" s="226"/>
      <c r="AL777" s="226"/>
      <c r="AV777" s="226"/>
      <c r="AW777" s="226"/>
      <c r="BG777" s="226"/>
      <c r="BH777" s="226"/>
      <c r="BR777" s="226"/>
      <c r="BS777" s="226"/>
    </row>
    <row r="778" ht="12.5" spans="15:71">
      <c r="O778" s="226"/>
      <c r="P778" s="226"/>
      <c r="Z778" s="226"/>
      <c r="AA778" s="226"/>
      <c r="AK778" s="226"/>
      <c r="AL778" s="226"/>
      <c r="AV778" s="226"/>
      <c r="AW778" s="226"/>
      <c r="BG778" s="226"/>
      <c r="BH778" s="226"/>
      <c r="BR778" s="226"/>
      <c r="BS778" s="226"/>
    </row>
    <row r="779" ht="12.5" spans="15:71">
      <c r="O779" s="226"/>
      <c r="P779" s="226"/>
      <c r="Z779" s="226"/>
      <c r="AA779" s="226"/>
      <c r="AK779" s="226"/>
      <c r="AL779" s="226"/>
      <c r="AV779" s="226"/>
      <c r="AW779" s="226"/>
      <c r="BG779" s="226"/>
      <c r="BH779" s="226"/>
      <c r="BR779" s="226"/>
      <c r="BS779" s="226"/>
    </row>
    <row r="780" ht="12.5" spans="15:71">
      <c r="O780" s="226"/>
      <c r="P780" s="226"/>
      <c r="Z780" s="226"/>
      <c r="AA780" s="226"/>
      <c r="AK780" s="226"/>
      <c r="AL780" s="226"/>
      <c r="AV780" s="226"/>
      <c r="AW780" s="226"/>
      <c r="BG780" s="226"/>
      <c r="BH780" s="226"/>
      <c r="BR780" s="226"/>
      <c r="BS780" s="226"/>
    </row>
    <row r="781" ht="12.5" spans="15:71">
      <c r="O781" s="226"/>
      <c r="P781" s="226"/>
      <c r="Z781" s="226"/>
      <c r="AA781" s="226"/>
      <c r="AK781" s="226"/>
      <c r="AL781" s="226"/>
      <c r="AV781" s="226"/>
      <c r="AW781" s="226"/>
      <c r="BG781" s="226"/>
      <c r="BH781" s="226"/>
      <c r="BR781" s="226"/>
      <c r="BS781" s="226"/>
    </row>
    <row r="782" ht="12.5" spans="15:71">
      <c r="O782" s="226"/>
      <c r="P782" s="226"/>
      <c r="Z782" s="226"/>
      <c r="AA782" s="226"/>
      <c r="AK782" s="226"/>
      <c r="AL782" s="226"/>
      <c r="AV782" s="226"/>
      <c r="AW782" s="226"/>
      <c r="BG782" s="226"/>
      <c r="BH782" s="226"/>
      <c r="BR782" s="226"/>
      <c r="BS782" s="226"/>
    </row>
    <row r="783" ht="12.5" spans="15:71">
      <c r="O783" s="226"/>
      <c r="P783" s="226"/>
      <c r="Z783" s="226"/>
      <c r="AA783" s="226"/>
      <c r="AK783" s="226"/>
      <c r="AL783" s="226"/>
      <c r="AV783" s="226"/>
      <c r="AW783" s="226"/>
      <c r="BG783" s="226"/>
      <c r="BH783" s="226"/>
      <c r="BR783" s="226"/>
      <c r="BS783" s="226"/>
    </row>
    <row r="784" ht="12.5" spans="15:71">
      <c r="O784" s="226"/>
      <c r="P784" s="226"/>
      <c r="Z784" s="226"/>
      <c r="AA784" s="226"/>
      <c r="AK784" s="226"/>
      <c r="AL784" s="226"/>
      <c r="AV784" s="226"/>
      <c r="AW784" s="226"/>
      <c r="BG784" s="226"/>
      <c r="BH784" s="226"/>
      <c r="BR784" s="226"/>
      <c r="BS784" s="226"/>
    </row>
    <row r="785" ht="12.5" spans="15:71">
      <c r="O785" s="226"/>
      <c r="P785" s="226"/>
      <c r="Z785" s="226"/>
      <c r="AA785" s="226"/>
      <c r="AK785" s="226"/>
      <c r="AL785" s="226"/>
      <c r="AV785" s="226"/>
      <c r="AW785" s="226"/>
      <c r="BG785" s="226"/>
      <c r="BH785" s="226"/>
      <c r="BR785" s="226"/>
      <c r="BS785" s="226"/>
    </row>
    <row r="786" ht="12.5" spans="15:71">
      <c r="O786" s="226"/>
      <c r="P786" s="226"/>
      <c r="Z786" s="226"/>
      <c r="AA786" s="226"/>
      <c r="AK786" s="226"/>
      <c r="AL786" s="226"/>
      <c r="AV786" s="226"/>
      <c r="AW786" s="226"/>
      <c r="BG786" s="226"/>
      <c r="BH786" s="226"/>
      <c r="BR786" s="226"/>
      <c r="BS786" s="226"/>
    </row>
    <row r="787" ht="12.5" spans="15:71">
      <c r="O787" s="226"/>
      <c r="P787" s="226"/>
      <c r="Z787" s="226"/>
      <c r="AA787" s="226"/>
      <c r="AK787" s="226"/>
      <c r="AL787" s="226"/>
      <c r="AV787" s="226"/>
      <c r="AW787" s="226"/>
      <c r="BG787" s="226"/>
      <c r="BH787" s="226"/>
      <c r="BR787" s="226"/>
      <c r="BS787" s="226"/>
    </row>
    <row r="788" ht="12.5" spans="15:71">
      <c r="O788" s="226"/>
      <c r="P788" s="226"/>
      <c r="Z788" s="226"/>
      <c r="AA788" s="226"/>
      <c r="AK788" s="226"/>
      <c r="AL788" s="226"/>
      <c r="AV788" s="226"/>
      <c r="AW788" s="226"/>
      <c r="BG788" s="226"/>
      <c r="BH788" s="226"/>
      <c r="BR788" s="226"/>
      <c r="BS788" s="226"/>
    </row>
    <row r="789" ht="12.5" spans="15:71">
      <c r="O789" s="226"/>
      <c r="P789" s="226"/>
      <c r="Z789" s="226"/>
      <c r="AA789" s="226"/>
      <c r="AK789" s="226"/>
      <c r="AL789" s="226"/>
      <c r="AV789" s="226"/>
      <c r="AW789" s="226"/>
      <c r="BG789" s="226"/>
      <c r="BH789" s="226"/>
      <c r="BR789" s="226"/>
      <c r="BS789" s="226"/>
    </row>
    <row r="790" ht="12.5" spans="15:71">
      <c r="O790" s="226"/>
      <c r="P790" s="226"/>
      <c r="Z790" s="226"/>
      <c r="AA790" s="226"/>
      <c r="AK790" s="226"/>
      <c r="AL790" s="226"/>
      <c r="AV790" s="226"/>
      <c r="AW790" s="226"/>
      <c r="BG790" s="226"/>
      <c r="BH790" s="226"/>
      <c r="BR790" s="226"/>
      <c r="BS790" s="226"/>
    </row>
    <row r="791" ht="12.5" spans="15:71">
      <c r="O791" s="226"/>
      <c r="P791" s="226"/>
      <c r="Z791" s="226"/>
      <c r="AA791" s="226"/>
      <c r="AK791" s="226"/>
      <c r="AL791" s="226"/>
      <c r="AV791" s="226"/>
      <c r="AW791" s="226"/>
      <c r="BG791" s="226"/>
      <c r="BH791" s="226"/>
      <c r="BR791" s="226"/>
      <c r="BS791" s="226"/>
    </row>
    <row r="792" ht="12.5" spans="15:71">
      <c r="O792" s="226"/>
      <c r="P792" s="226"/>
      <c r="Z792" s="226"/>
      <c r="AA792" s="226"/>
      <c r="AK792" s="226"/>
      <c r="AL792" s="226"/>
      <c r="AV792" s="226"/>
      <c r="AW792" s="226"/>
      <c r="BG792" s="226"/>
      <c r="BH792" s="226"/>
      <c r="BR792" s="226"/>
      <c r="BS792" s="226"/>
    </row>
    <row r="793" ht="12.5" spans="15:71">
      <c r="O793" s="226"/>
      <c r="P793" s="226"/>
      <c r="Z793" s="226"/>
      <c r="AA793" s="226"/>
      <c r="AK793" s="226"/>
      <c r="AL793" s="226"/>
      <c r="AV793" s="226"/>
      <c r="AW793" s="226"/>
      <c r="BG793" s="226"/>
      <c r="BH793" s="226"/>
      <c r="BR793" s="226"/>
      <c r="BS793" s="226"/>
    </row>
    <row r="794" ht="12.5" spans="15:71">
      <c r="O794" s="226"/>
      <c r="P794" s="226"/>
      <c r="Z794" s="226"/>
      <c r="AA794" s="226"/>
      <c r="AK794" s="226"/>
      <c r="AL794" s="226"/>
      <c r="AV794" s="226"/>
      <c r="AW794" s="226"/>
      <c r="BG794" s="226"/>
      <c r="BH794" s="226"/>
      <c r="BR794" s="226"/>
      <c r="BS794" s="226"/>
    </row>
    <row r="795" ht="12.5" spans="15:71">
      <c r="O795" s="226"/>
      <c r="P795" s="226"/>
      <c r="Z795" s="226"/>
      <c r="AA795" s="226"/>
      <c r="AK795" s="226"/>
      <c r="AL795" s="226"/>
      <c r="AV795" s="226"/>
      <c r="AW795" s="226"/>
      <c r="BG795" s="226"/>
      <c r="BH795" s="226"/>
      <c r="BR795" s="226"/>
      <c r="BS795" s="226"/>
    </row>
    <row r="796" ht="12.5" spans="15:71">
      <c r="O796" s="226"/>
      <c r="P796" s="226"/>
      <c r="Z796" s="226"/>
      <c r="AA796" s="226"/>
      <c r="AK796" s="226"/>
      <c r="AL796" s="226"/>
      <c r="AV796" s="226"/>
      <c r="AW796" s="226"/>
      <c r="BG796" s="226"/>
      <c r="BH796" s="226"/>
      <c r="BR796" s="226"/>
      <c r="BS796" s="226"/>
    </row>
    <row r="797" ht="12.5" spans="15:71">
      <c r="O797" s="226"/>
      <c r="P797" s="226"/>
      <c r="Z797" s="226"/>
      <c r="AA797" s="226"/>
      <c r="AK797" s="226"/>
      <c r="AL797" s="226"/>
      <c r="AV797" s="226"/>
      <c r="AW797" s="226"/>
      <c r="BG797" s="226"/>
      <c r="BH797" s="226"/>
      <c r="BR797" s="226"/>
      <c r="BS797" s="226"/>
    </row>
    <row r="798" ht="12.5" spans="15:71">
      <c r="O798" s="226"/>
      <c r="P798" s="226"/>
      <c r="Z798" s="226"/>
      <c r="AA798" s="226"/>
      <c r="AK798" s="226"/>
      <c r="AL798" s="226"/>
      <c r="AV798" s="226"/>
      <c r="AW798" s="226"/>
      <c r="BG798" s="226"/>
      <c r="BH798" s="226"/>
      <c r="BR798" s="226"/>
      <c r="BS798" s="226"/>
    </row>
    <row r="799" ht="12.5" spans="15:71">
      <c r="O799" s="226"/>
      <c r="P799" s="226"/>
      <c r="Z799" s="226"/>
      <c r="AA799" s="226"/>
      <c r="AK799" s="226"/>
      <c r="AL799" s="226"/>
      <c r="AV799" s="226"/>
      <c r="AW799" s="226"/>
      <c r="BG799" s="226"/>
      <c r="BH799" s="226"/>
      <c r="BR799" s="226"/>
      <c r="BS799" s="226"/>
    </row>
    <row r="800" ht="12.5" spans="15:71">
      <c r="O800" s="226"/>
      <c r="P800" s="226"/>
      <c r="Z800" s="226"/>
      <c r="AA800" s="226"/>
      <c r="AK800" s="226"/>
      <c r="AL800" s="226"/>
      <c r="AV800" s="226"/>
      <c r="AW800" s="226"/>
      <c r="BG800" s="226"/>
      <c r="BH800" s="226"/>
      <c r="BR800" s="226"/>
      <c r="BS800" s="226"/>
    </row>
    <row r="801" ht="12.5" spans="15:71">
      <c r="O801" s="226"/>
      <c r="P801" s="226"/>
      <c r="Z801" s="226"/>
      <c r="AA801" s="226"/>
      <c r="AK801" s="226"/>
      <c r="AL801" s="226"/>
      <c r="AV801" s="226"/>
      <c r="AW801" s="226"/>
      <c r="BG801" s="226"/>
      <c r="BH801" s="226"/>
      <c r="BR801" s="226"/>
      <c r="BS801" s="226"/>
    </row>
    <row r="802" ht="12.5" spans="15:71">
      <c r="O802" s="226"/>
      <c r="P802" s="226"/>
      <c r="Z802" s="226"/>
      <c r="AA802" s="226"/>
      <c r="AK802" s="226"/>
      <c r="AL802" s="226"/>
      <c r="AV802" s="226"/>
      <c r="AW802" s="226"/>
      <c r="BG802" s="226"/>
      <c r="BH802" s="226"/>
      <c r="BR802" s="226"/>
      <c r="BS802" s="226"/>
    </row>
    <row r="803" ht="12.5" spans="15:71">
      <c r="O803" s="226"/>
      <c r="P803" s="226"/>
      <c r="Z803" s="226"/>
      <c r="AA803" s="226"/>
      <c r="AK803" s="226"/>
      <c r="AL803" s="226"/>
      <c r="AV803" s="226"/>
      <c r="AW803" s="226"/>
      <c r="BG803" s="226"/>
      <c r="BH803" s="226"/>
      <c r="BR803" s="226"/>
      <c r="BS803" s="226"/>
    </row>
    <row r="804" ht="12.5" spans="15:71">
      <c r="O804" s="226"/>
      <c r="P804" s="226"/>
      <c r="Z804" s="226"/>
      <c r="AA804" s="226"/>
      <c r="AK804" s="226"/>
      <c r="AL804" s="226"/>
      <c r="AV804" s="226"/>
      <c r="AW804" s="226"/>
      <c r="BG804" s="226"/>
      <c r="BH804" s="226"/>
      <c r="BR804" s="226"/>
      <c r="BS804" s="226"/>
    </row>
    <row r="805" ht="12.5" spans="15:71">
      <c r="O805" s="226"/>
      <c r="P805" s="226"/>
      <c r="Z805" s="226"/>
      <c r="AA805" s="226"/>
      <c r="AK805" s="226"/>
      <c r="AL805" s="226"/>
      <c r="AV805" s="226"/>
      <c r="AW805" s="226"/>
      <c r="BG805" s="226"/>
      <c r="BH805" s="226"/>
      <c r="BR805" s="226"/>
      <c r="BS805" s="226"/>
    </row>
    <row r="806" ht="12.5" spans="15:71">
      <c r="O806" s="226"/>
      <c r="P806" s="226"/>
      <c r="Z806" s="226"/>
      <c r="AA806" s="226"/>
      <c r="AK806" s="226"/>
      <c r="AL806" s="226"/>
      <c r="AV806" s="226"/>
      <c r="AW806" s="226"/>
      <c r="BG806" s="226"/>
      <c r="BH806" s="226"/>
      <c r="BR806" s="226"/>
      <c r="BS806" s="226"/>
    </row>
    <row r="807" ht="12.5" spans="15:71">
      <c r="O807" s="226"/>
      <c r="P807" s="226"/>
      <c r="Z807" s="226"/>
      <c r="AA807" s="226"/>
      <c r="AK807" s="226"/>
      <c r="AL807" s="226"/>
      <c r="AV807" s="226"/>
      <c r="AW807" s="226"/>
      <c r="BG807" s="226"/>
      <c r="BH807" s="226"/>
      <c r="BR807" s="226"/>
      <c r="BS807" s="226"/>
    </row>
    <row r="808" ht="12.5" spans="15:71">
      <c r="O808" s="226"/>
      <c r="P808" s="226"/>
      <c r="Z808" s="226"/>
      <c r="AA808" s="226"/>
      <c r="AK808" s="226"/>
      <c r="AL808" s="226"/>
      <c r="AV808" s="226"/>
      <c r="AW808" s="226"/>
      <c r="BG808" s="226"/>
      <c r="BH808" s="226"/>
      <c r="BR808" s="226"/>
      <c r="BS808" s="226"/>
    </row>
    <row r="809" ht="12.5" spans="15:71">
      <c r="O809" s="226"/>
      <c r="P809" s="226"/>
      <c r="Z809" s="226"/>
      <c r="AA809" s="226"/>
      <c r="AK809" s="226"/>
      <c r="AL809" s="226"/>
      <c r="AV809" s="226"/>
      <c r="AW809" s="226"/>
      <c r="BG809" s="226"/>
      <c r="BH809" s="226"/>
      <c r="BR809" s="226"/>
      <c r="BS809" s="226"/>
    </row>
    <row r="810" ht="12.5" spans="15:71">
      <c r="O810" s="226"/>
      <c r="P810" s="226"/>
      <c r="Z810" s="226"/>
      <c r="AA810" s="226"/>
      <c r="AK810" s="226"/>
      <c r="AL810" s="226"/>
      <c r="AV810" s="226"/>
      <c r="AW810" s="226"/>
      <c r="BG810" s="226"/>
      <c r="BH810" s="226"/>
      <c r="BR810" s="226"/>
      <c r="BS810" s="226"/>
    </row>
    <row r="811" ht="12.5" spans="15:71">
      <c r="O811" s="226"/>
      <c r="P811" s="226"/>
      <c r="Z811" s="226"/>
      <c r="AA811" s="226"/>
      <c r="AK811" s="226"/>
      <c r="AL811" s="226"/>
      <c r="AV811" s="226"/>
      <c r="AW811" s="226"/>
      <c r="BG811" s="226"/>
      <c r="BH811" s="226"/>
      <c r="BR811" s="226"/>
      <c r="BS811" s="226"/>
    </row>
    <row r="812" ht="12.5" spans="15:71">
      <c r="O812" s="226"/>
      <c r="P812" s="226"/>
      <c r="Z812" s="226"/>
      <c r="AA812" s="226"/>
      <c r="AK812" s="226"/>
      <c r="AL812" s="226"/>
      <c r="AV812" s="226"/>
      <c r="AW812" s="226"/>
      <c r="BG812" s="226"/>
      <c r="BH812" s="226"/>
      <c r="BR812" s="226"/>
      <c r="BS812" s="226"/>
    </row>
    <row r="813" ht="12.5" spans="15:71">
      <c r="O813" s="226"/>
      <c r="P813" s="226"/>
      <c r="Z813" s="226"/>
      <c r="AA813" s="226"/>
      <c r="AK813" s="226"/>
      <c r="AL813" s="226"/>
      <c r="AV813" s="226"/>
      <c r="AW813" s="226"/>
      <c r="BG813" s="226"/>
      <c r="BH813" s="226"/>
      <c r="BR813" s="226"/>
      <c r="BS813" s="226"/>
    </row>
    <row r="814" ht="12.5" spans="15:71">
      <c r="O814" s="226"/>
      <c r="P814" s="226"/>
      <c r="Z814" s="226"/>
      <c r="AA814" s="226"/>
      <c r="AK814" s="226"/>
      <c r="AL814" s="226"/>
      <c r="AV814" s="226"/>
      <c r="AW814" s="226"/>
      <c r="BG814" s="226"/>
      <c r="BH814" s="226"/>
      <c r="BR814" s="226"/>
      <c r="BS814" s="226"/>
    </row>
    <row r="815" ht="12.5" spans="15:71">
      <c r="O815" s="226"/>
      <c r="P815" s="226"/>
      <c r="Z815" s="226"/>
      <c r="AA815" s="226"/>
      <c r="AK815" s="226"/>
      <c r="AL815" s="226"/>
      <c r="AV815" s="226"/>
      <c r="AW815" s="226"/>
      <c r="BG815" s="226"/>
      <c r="BH815" s="226"/>
      <c r="BR815" s="226"/>
      <c r="BS815" s="226"/>
    </row>
    <row r="816" ht="12.5" spans="15:71">
      <c r="O816" s="226"/>
      <c r="P816" s="226"/>
      <c r="Z816" s="226"/>
      <c r="AA816" s="226"/>
      <c r="AK816" s="226"/>
      <c r="AL816" s="226"/>
      <c r="AV816" s="226"/>
      <c r="AW816" s="226"/>
      <c r="BG816" s="226"/>
      <c r="BH816" s="226"/>
      <c r="BR816" s="226"/>
      <c r="BS816" s="226"/>
    </row>
    <row r="817" ht="12.5" spans="15:71">
      <c r="O817" s="226"/>
      <c r="P817" s="226"/>
      <c r="Z817" s="226"/>
      <c r="AA817" s="226"/>
      <c r="AK817" s="226"/>
      <c r="AL817" s="226"/>
      <c r="AV817" s="226"/>
      <c r="AW817" s="226"/>
      <c r="BG817" s="226"/>
      <c r="BH817" s="226"/>
      <c r="BR817" s="226"/>
      <c r="BS817" s="226"/>
    </row>
    <row r="818" ht="12.5" spans="15:71">
      <c r="O818" s="226"/>
      <c r="P818" s="226"/>
      <c r="Z818" s="226"/>
      <c r="AA818" s="226"/>
      <c r="AK818" s="226"/>
      <c r="AL818" s="226"/>
      <c r="AV818" s="226"/>
      <c r="AW818" s="226"/>
      <c r="BG818" s="226"/>
      <c r="BH818" s="226"/>
      <c r="BR818" s="226"/>
      <c r="BS818" s="226"/>
    </row>
    <row r="819" ht="12.5" spans="15:71">
      <c r="O819" s="226"/>
      <c r="P819" s="226"/>
      <c r="Z819" s="226"/>
      <c r="AA819" s="226"/>
      <c r="AK819" s="226"/>
      <c r="AL819" s="226"/>
      <c r="AV819" s="226"/>
      <c r="AW819" s="226"/>
      <c r="BG819" s="226"/>
      <c r="BH819" s="226"/>
      <c r="BR819" s="226"/>
      <c r="BS819" s="226"/>
    </row>
    <row r="820" ht="12.5" spans="15:71">
      <c r="O820" s="226"/>
      <c r="P820" s="226"/>
      <c r="Z820" s="226"/>
      <c r="AA820" s="226"/>
      <c r="AK820" s="226"/>
      <c r="AL820" s="226"/>
      <c r="AV820" s="226"/>
      <c r="AW820" s="226"/>
      <c r="BG820" s="226"/>
      <c r="BH820" s="226"/>
      <c r="BR820" s="226"/>
      <c r="BS820" s="226"/>
    </row>
    <row r="821" ht="12.5" spans="15:71">
      <c r="O821" s="226"/>
      <c r="P821" s="226"/>
      <c r="Z821" s="226"/>
      <c r="AA821" s="226"/>
      <c r="AK821" s="226"/>
      <c r="AL821" s="226"/>
      <c r="AV821" s="226"/>
      <c r="AW821" s="226"/>
      <c r="BG821" s="226"/>
      <c r="BH821" s="226"/>
      <c r="BR821" s="226"/>
      <c r="BS821" s="226"/>
    </row>
    <row r="822" ht="12.5" spans="15:71">
      <c r="O822" s="226"/>
      <c r="P822" s="226"/>
      <c r="Z822" s="226"/>
      <c r="AA822" s="226"/>
      <c r="AK822" s="226"/>
      <c r="AL822" s="226"/>
      <c r="AV822" s="226"/>
      <c r="AW822" s="226"/>
      <c r="BG822" s="226"/>
      <c r="BH822" s="226"/>
      <c r="BR822" s="226"/>
      <c r="BS822" s="226"/>
    </row>
    <row r="823" ht="12.5" spans="15:71">
      <c r="O823" s="226"/>
      <c r="P823" s="226"/>
      <c r="Z823" s="226"/>
      <c r="AA823" s="226"/>
      <c r="AK823" s="226"/>
      <c r="AL823" s="226"/>
      <c r="AV823" s="226"/>
      <c r="AW823" s="226"/>
      <c r="BG823" s="226"/>
      <c r="BH823" s="226"/>
      <c r="BR823" s="226"/>
      <c r="BS823" s="226"/>
    </row>
    <row r="824" ht="12.5" spans="15:71">
      <c r="O824" s="226"/>
      <c r="P824" s="226"/>
      <c r="Z824" s="226"/>
      <c r="AA824" s="226"/>
      <c r="AK824" s="226"/>
      <c r="AL824" s="226"/>
      <c r="AV824" s="226"/>
      <c r="AW824" s="226"/>
      <c r="BG824" s="226"/>
      <c r="BH824" s="226"/>
      <c r="BR824" s="226"/>
      <c r="BS824" s="226"/>
    </row>
    <row r="825" ht="12.5" spans="15:71">
      <c r="O825" s="226"/>
      <c r="P825" s="226"/>
      <c r="Z825" s="226"/>
      <c r="AA825" s="226"/>
      <c r="AK825" s="226"/>
      <c r="AL825" s="226"/>
      <c r="AV825" s="226"/>
      <c r="AW825" s="226"/>
      <c r="BG825" s="226"/>
      <c r="BH825" s="226"/>
      <c r="BR825" s="226"/>
      <c r="BS825" s="226"/>
    </row>
    <row r="826" ht="12.5" spans="15:71">
      <c r="O826" s="226"/>
      <c r="P826" s="226"/>
      <c r="Z826" s="226"/>
      <c r="AA826" s="226"/>
      <c r="AK826" s="226"/>
      <c r="AL826" s="226"/>
      <c r="AV826" s="226"/>
      <c r="AW826" s="226"/>
      <c r="BG826" s="226"/>
      <c r="BH826" s="226"/>
      <c r="BR826" s="226"/>
      <c r="BS826" s="226"/>
    </row>
    <row r="827" ht="12.5" spans="15:71">
      <c r="O827" s="226"/>
      <c r="P827" s="226"/>
      <c r="Z827" s="226"/>
      <c r="AA827" s="226"/>
      <c r="AK827" s="226"/>
      <c r="AL827" s="226"/>
      <c r="AV827" s="226"/>
      <c r="AW827" s="226"/>
      <c r="BG827" s="226"/>
      <c r="BH827" s="226"/>
      <c r="BR827" s="226"/>
      <c r="BS827" s="226"/>
    </row>
    <row r="828" ht="12.5" spans="15:71">
      <c r="O828" s="226"/>
      <c r="P828" s="226"/>
      <c r="Z828" s="226"/>
      <c r="AA828" s="226"/>
      <c r="AK828" s="226"/>
      <c r="AL828" s="226"/>
      <c r="AV828" s="226"/>
      <c r="AW828" s="226"/>
      <c r="BG828" s="226"/>
      <c r="BH828" s="226"/>
      <c r="BR828" s="226"/>
      <c r="BS828" s="226"/>
    </row>
    <row r="829" ht="12.5" spans="15:71">
      <c r="O829" s="226"/>
      <c r="P829" s="226"/>
      <c r="Z829" s="226"/>
      <c r="AA829" s="226"/>
      <c r="AK829" s="226"/>
      <c r="AL829" s="226"/>
      <c r="AV829" s="226"/>
      <c r="AW829" s="226"/>
      <c r="BG829" s="226"/>
      <c r="BH829" s="226"/>
      <c r="BR829" s="226"/>
      <c r="BS829" s="226"/>
    </row>
    <row r="830" ht="12.5" spans="15:71">
      <c r="O830" s="226"/>
      <c r="P830" s="226"/>
      <c r="Z830" s="226"/>
      <c r="AA830" s="226"/>
      <c r="AK830" s="226"/>
      <c r="AL830" s="226"/>
      <c r="AV830" s="226"/>
      <c r="AW830" s="226"/>
      <c r="BG830" s="226"/>
      <c r="BH830" s="226"/>
      <c r="BR830" s="226"/>
      <c r="BS830" s="226"/>
    </row>
    <row r="831" ht="12.5" spans="15:71">
      <c r="O831" s="226"/>
      <c r="P831" s="226"/>
      <c r="Z831" s="226"/>
      <c r="AA831" s="226"/>
      <c r="AK831" s="226"/>
      <c r="AL831" s="226"/>
      <c r="AV831" s="226"/>
      <c r="AW831" s="226"/>
      <c r="BG831" s="226"/>
      <c r="BH831" s="226"/>
      <c r="BR831" s="226"/>
      <c r="BS831" s="226"/>
    </row>
    <row r="832" ht="12.5" spans="15:71">
      <c r="O832" s="226"/>
      <c r="P832" s="226"/>
      <c r="Z832" s="226"/>
      <c r="AA832" s="226"/>
      <c r="AK832" s="226"/>
      <c r="AL832" s="226"/>
      <c r="AV832" s="226"/>
      <c r="AW832" s="226"/>
      <c r="BG832" s="226"/>
      <c r="BH832" s="226"/>
      <c r="BR832" s="226"/>
      <c r="BS832" s="226"/>
    </row>
    <row r="833" ht="12.5" spans="15:71">
      <c r="O833" s="226"/>
      <c r="P833" s="226"/>
      <c r="Z833" s="226"/>
      <c r="AA833" s="226"/>
      <c r="AK833" s="226"/>
      <c r="AL833" s="226"/>
      <c r="AV833" s="226"/>
      <c r="AW833" s="226"/>
      <c r="BG833" s="226"/>
      <c r="BH833" s="226"/>
      <c r="BR833" s="226"/>
      <c r="BS833" s="226"/>
    </row>
    <row r="834" ht="12.5" spans="15:71">
      <c r="O834" s="226"/>
      <c r="P834" s="226"/>
      <c r="Z834" s="226"/>
      <c r="AA834" s="226"/>
      <c r="AK834" s="226"/>
      <c r="AL834" s="226"/>
      <c r="AV834" s="226"/>
      <c r="AW834" s="226"/>
      <c r="BG834" s="226"/>
      <c r="BH834" s="226"/>
      <c r="BR834" s="226"/>
      <c r="BS834" s="226"/>
    </row>
    <row r="835" ht="12.5" spans="15:71">
      <c r="O835" s="226"/>
      <c r="P835" s="226"/>
      <c r="Z835" s="226"/>
      <c r="AA835" s="226"/>
      <c r="AK835" s="226"/>
      <c r="AL835" s="226"/>
      <c r="AV835" s="226"/>
      <c r="AW835" s="226"/>
      <c r="BG835" s="226"/>
      <c r="BH835" s="226"/>
      <c r="BR835" s="226"/>
      <c r="BS835" s="226"/>
    </row>
    <row r="836" ht="12.5" spans="15:71">
      <c r="O836" s="226"/>
      <c r="P836" s="226"/>
      <c r="Z836" s="226"/>
      <c r="AA836" s="226"/>
      <c r="AK836" s="226"/>
      <c r="AL836" s="226"/>
      <c r="AV836" s="226"/>
      <c r="AW836" s="226"/>
      <c r="BG836" s="226"/>
      <c r="BH836" s="226"/>
      <c r="BR836" s="226"/>
      <c r="BS836" s="226"/>
    </row>
    <row r="837" ht="12.5" spans="15:71">
      <c r="O837" s="226"/>
      <c r="P837" s="226"/>
      <c r="Z837" s="226"/>
      <c r="AA837" s="226"/>
      <c r="AK837" s="226"/>
      <c r="AL837" s="226"/>
      <c r="AV837" s="226"/>
      <c r="AW837" s="226"/>
      <c r="BG837" s="226"/>
      <c r="BH837" s="226"/>
      <c r="BR837" s="226"/>
      <c r="BS837" s="226"/>
    </row>
    <row r="838" ht="12.5" spans="15:71">
      <c r="O838" s="226"/>
      <c r="P838" s="226"/>
      <c r="Z838" s="226"/>
      <c r="AA838" s="226"/>
      <c r="AK838" s="226"/>
      <c r="AL838" s="226"/>
      <c r="AV838" s="226"/>
      <c r="AW838" s="226"/>
      <c r="BG838" s="226"/>
      <c r="BH838" s="226"/>
      <c r="BR838" s="226"/>
      <c r="BS838" s="226"/>
    </row>
    <row r="839" ht="12.5" spans="15:71">
      <c r="O839" s="226"/>
      <c r="P839" s="226"/>
      <c r="Z839" s="226"/>
      <c r="AA839" s="226"/>
      <c r="AK839" s="226"/>
      <c r="AL839" s="226"/>
      <c r="AV839" s="226"/>
      <c r="AW839" s="226"/>
      <c r="BG839" s="226"/>
      <c r="BH839" s="226"/>
      <c r="BR839" s="226"/>
      <c r="BS839" s="226"/>
    </row>
    <row r="840" ht="12.5" spans="15:71">
      <c r="O840" s="226"/>
      <c r="P840" s="226"/>
      <c r="Z840" s="226"/>
      <c r="AA840" s="226"/>
      <c r="AK840" s="226"/>
      <c r="AL840" s="226"/>
      <c r="AV840" s="226"/>
      <c r="AW840" s="226"/>
      <c r="BG840" s="226"/>
      <c r="BH840" s="226"/>
      <c r="BR840" s="226"/>
      <c r="BS840" s="226"/>
    </row>
    <row r="841" ht="12.5" spans="15:71">
      <c r="O841" s="226"/>
      <c r="P841" s="226"/>
      <c r="Z841" s="226"/>
      <c r="AA841" s="226"/>
      <c r="AK841" s="226"/>
      <c r="AL841" s="226"/>
      <c r="AV841" s="226"/>
      <c r="AW841" s="226"/>
      <c r="BG841" s="226"/>
      <c r="BH841" s="226"/>
      <c r="BR841" s="226"/>
      <c r="BS841" s="226"/>
    </row>
    <row r="842" ht="12.5" spans="15:71">
      <c r="O842" s="226"/>
      <c r="P842" s="226"/>
      <c r="Z842" s="226"/>
      <c r="AA842" s="226"/>
      <c r="AK842" s="226"/>
      <c r="AL842" s="226"/>
      <c r="AV842" s="226"/>
      <c r="AW842" s="226"/>
      <c r="BG842" s="226"/>
      <c r="BH842" s="226"/>
      <c r="BR842" s="226"/>
      <c r="BS842" s="226"/>
    </row>
    <row r="843" ht="12.5" spans="15:71">
      <c r="O843" s="226"/>
      <c r="P843" s="226"/>
      <c r="Z843" s="226"/>
      <c r="AA843" s="226"/>
      <c r="AK843" s="226"/>
      <c r="AL843" s="226"/>
      <c r="AV843" s="226"/>
      <c r="AW843" s="226"/>
      <c r="BG843" s="226"/>
      <c r="BH843" s="226"/>
      <c r="BR843" s="226"/>
      <c r="BS843" s="226"/>
    </row>
    <row r="844" ht="12.5" spans="15:71">
      <c r="O844" s="226"/>
      <c r="P844" s="226"/>
      <c r="Z844" s="226"/>
      <c r="AA844" s="226"/>
      <c r="AK844" s="226"/>
      <c r="AL844" s="226"/>
      <c r="AV844" s="226"/>
      <c r="AW844" s="226"/>
      <c r="BG844" s="226"/>
      <c r="BH844" s="226"/>
      <c r="BR844" s="226"/>
      <c r="BS844" s="226"/>
    </row>
    <row r="845" ht="12.5" spans="15:71">
      <c r="O845" s="226"/>
      <c r="P845" s="226"/>
      <c r="Z845" s="226"/>
      <c r="AA845" s="226"/>
      <c r="AK845" s="226"/>
      <c r="AL845" s="226"/>
      <c r="AV845" s="226"/>
      <c r="AW845" s="226"/>
      <c r="BG845" s="226"/>
      <c r="BH845" s="226"/>
      <c r="BR845" s="226"/>
      <c r="BS845" s="226"/>
    </row>
    <row r="846" ht="12.5" spans="15:71">
      <c r="O846" s="226"/>
      <c r="P846" s="226"/>
      <c r="Z846" s="226"/>
      <c r="AA846" s="226"/>
      <c r="AK846" s="226"/>
      <c r="AL846" s="226"/>
      <c r="AV846" s="226"/>
      <c r="AW846" s="226"/>
      <c r="BG846" s="226"/>
      <c r="BH846" s="226"/>
      <c r="BR846" s="226"/>
      <c r="BS846" s="226"/>
    </row>
    <row r="847" ht="12.5" spans="15:71">
      <c r="O847" s="226"/>
      <c r="P847" s="226"/>
      <c r="Z847" s="226"/>
      <c r="AA847" s="226"/>
      <c r="AK847" s="226"/>
      <c r="AL847" s="226"/>
      <c r="AV847" s="226"/>
      <c r="AW847" s="226"/>
      <c r="BG847" s="226"/>
      <c r="BH847" s="226"/>
      <c r="BR847" s="226"/>
      <c r="BS847" s="226"/>
    </row>
    <row r="848" ht="12.5" spans="15:71">
      <c r="O848" s="226"/>
      <c r="P848" s="226"/>
      <c r="Z848" s="226"/>
      <c r="AA848" s="226"/>
      <c r="AK848" s="226"/>
      <c r="AL848" s="226"/>
      <c r="AV848" s="226"/>
      <c r="AW848" s="226"/>
      <c r="BG848" s="226"/>
      <c r="BH848" s="226"/>
      <c r="BR848" s="226"/>
      <c r="BS848" s="226"/>
    </row>
    <row r="849" ht="12.5" spans="15:71">
      <c r="O849" s="226"/>
      <c r="P849" s="226"/>
      <c r="Z849" s="226"/>
      <c r="AA849" s="226"/>
      <c r="AK849" s="226"/>
      <c r="AL849" s="226"/>
      <c r="AV849" s="226"/>
      <c r="AW849" s="226"/>
      <c r="BG849" s="226"/>
      <c r="BH849" s="226"/>
      <c r="BR849" s="226"/>
      <c r="BS849" s="226"/>
    </row>
    <row r="850" ht="12.5" spans="15:71">
      <c r="O850" s="226"/>
      <c r="P850" s="226"/>
      <c r="Z850" s="226"/>
      <c r="AA850" s="226"/>
      <c r="AK850" s="226"/>
      <c r="AL850" s="226"/>
      <c r="AV850" s="226"/>
      <c r="AW850" s="226"/>
      <c r="BG850" s="226"/>
      <c r="BH850" s="226"/>
      <c r="BR850" s="226"/>
      <c r="BS850" s="226"/>
    </row>
    <row r="851" ht="12.5" spans="15:71">
      <c r="O851" s="226"/>
      <c r="P851" s="226"/>
      <c r="Z851" s="226"/>
      <c r="AA851" s="226"/>
      <c r="AK851" s="226"/>
      <c r="AL851" s="226"/>
      <c r="AV851" s="226"/>
      <c r="AW851" s="226"/>
      <c r="BG851" s="226"/>
      <c r="BH851" s="226"/>
      <c r="BR851" s="226"/>
      <c r="BS851" s="226"/>
    </row>
    <row r="852" ht="12.5" spans="15:71">
      <c r="O852" s="226"/>
      <c r="P852" s="226"/>
      <c r="Z852" s="226"/>
      <c r="AA852" s="226"/>
      <c r="AK852" s="226"/>
      <c r="AL852" s="226"/>
      <c r="AV852" s="226"/>
      <c r="AW852" s="226"/>
      <c r="BG852" s="226"/>
      <c r="BH852" s="226"/>
      <c r="BR852" s="226"/>
      <c r="BS852" s="226"/>
    </row>
    <row r="853" ht="12.5" spans="15:71">
      <c r="O853" s="226"/>
      <c r="P853" s="226"/>
      <c r="Z853" s="226"/>
      <c r="AA853" s="226"/>
      <c r="AK853" s="226"/>
      <c r="AL853" s="226"/>
      <c r="AV853" s="226"/>
      <c r="AW853" s="226"/>
      <c r="BG853" s="226"/>
      <c r="BH853" s="226"/>
      <c r="BR853" s="226"/>
      <c r="BS853" s="226"/>
    </row>
    <row r="854" ht="12.5" spans="15:71">
      <c r="O854" s="226"/>
      <c r="P854" s="226"/>
      <c r="Z854" s="226"/>
      <c r="AA854" s="226"/>
      <c r="AK854" s="226"/>
      <c r="AL854" s="226"/>
      <c r="AV854" s="226"/>
      <c r="AW854" s="226"/>
      <c r="BG854" s="226"/>
      <c r="BH854" s="226"/>
      <c r="BR854" s="226"/>
      <c r="BS854" s="226"/>
    </row>
    <row r="855" ht="12.5" spans="15:71">
      <c r="O855" s="226"/>
      <c r="P855" s="226"/>
      <c r="Z855" s="226"/>
      <c r="AA855" s="226"/>
      <c r="AK855" s="226"/>
      <c r="AL855" s="226"/>
      <c r="AV855" s="226"/>
      <c r="AW855" s="226"/>
      <c r="BG855" s="226"/>
      <c r="BH855" s="226"/>
      <c r="BR855" s="226"/>
      <c r="BS855" s="226"/>
    </row>
    <row r="856" ht="12.5" spans="15:71">
      <c r="O856" s="226"/>
      <c r="P856" s="226"/>
      <c r="Z856" s="226"/>
      <c r="AA856" s="226"/>
      <c r="AK856" s="226"/>
      <c r="AL856" s="226"/>
      <c r="AV856" s="226"/>
      <c r="AW856" s="226"/>
      <c r="BG856" s="226"/>
      <c r="BH856" s="226"/>
      <c r="BR856" s="226"/>
      <c r="BS856" s="226"/>
    </row>
    <row r="857" ht="12.5" spans="15:71">
      <c r="O857" s="226"/>
      <c r="P857" s="226"/>
      <c r="Z857" s="226"/>
      <c r="AA857" s="226"/>
      <c r="AK857" s="226"/>
      <c r="AL857" s="226"/>
      <c r="AV857" s="226"/>
      <c r="AW857" s="226"/>
      <c r="BG857" s="226"/>
      <c r="BH857" s="226"/>
      <c r="BR857" s="226"/>
      <c r="BS857" s="226"/>
    </row>
    <row r="858" ht="12.5" spans="15:71">
      <c r="O858" s="226"/>
      <c r="P858" s="226"/>
      <c r="Z858" s="226"/>
      <c r="AA858" s="226"/>
      <c r="AK858" s="226"/>
      <c r="AL858" s="226"/>
      <c r="AV858" s="226"/>
      <c r="AW858" s="226"/>
      <c r="BG858" s="226"/>
      <c r="BH858" s="226"/>
      <c r="BR858" s="226"/>
      <c r="BS858" s="226"/>
    </row>
    <row r="859" ht="12.5" spans="15:71">
      <c r="O859" s="226"/>
      <c r="P859" s="226"/>
      <c r="Z859" s="226"/>
      <c r="AA859" s="226"/>
      <c r="AK859" s="226"/>
      <c r="AL859" s="226"/>
      <c r="AV859" s="226"/>
      <c r="AW859" s="226"/>
      <c r="BG859" s="226"/>
      <c r="BH859" s="226"/>
      <c r="BR859" s="226"/>
      <c r="BS859" s="226"/>
    </row>
    <row r="860" ht="12.5" spans="15:71">
      <c r="O860" s="226"/>
      <c r="P860" s="226"/>
      <c r="Z860" s="226"/>
      <c r="AA860" s="226"/>
      <c r="AK860" s="226"/>
      <c r="AL860" s="226"/>
      <c r="AV860" s="226"/>
      <c r="AW860" s="226"/>
      <c r="BG860" s="226"/>
      <c r="BH860" s="226"/>
      <c r="BR860" s="226"/>
      <c r="BS860" s="226"/>
    </row>
    <row r="861" ht="12.5" spans="15:71">
      <c r="O861" s="226"/>
      <c r="P861" s="226"/>
      <c r="Z861" s="226"/>
      <c r="AA861" s="226"/>
      <c r="AK861" s="226"/>
      <c r="AL861" s="226"/>
      <c r="AV861" s="226"/>
      <c r="AW861" s="226"/>
      <c r="BG861" s="226"/>
      <c r="BH861" s="226"/>
      <c r="BR861" s="226"/>
      <c r="BS861" s="226"/>
    </row>
    <row r="862" ht="12.5" spans="15:71">
      <c r="O862" s="226"/>
      <c r="P862" s="226"/>
      <c r="Z862" s="226"/>
      <c r="AA862" s="226"/>
      <c r="AK862" s="226"/>
      <c r="AL862" s="226"/>
      <c r="AV862" s="226"/>
      <c r="AW862" s="226"/>
      <c r="BG862" s="226"/>
      <c r="BH862" s="226"/>
      <c r="BR862" s="226"/>
      <c r="BS862" s="226"/>
    </row>
    <row r="863" ht="12.5" spans="15:71">
      <c r="O863" s="226"/>
      <c r="P863" s="226"/>
      <c r="Z863" s="226"/>
      <c r="AA863" s="226"/>
      <c r="AK863" s="226"/>
      <c r="AL863" s="226"/>
      <c r="AV863" s="226"/>
      <c r="AW863" s="226"/>
      <c r="BG863" s="226"/>
      <c r="BH863" s="226"/>
      <c r="BR863" s="226"/>
      <c r="BS863" s="226"/>
    </row>
    <row r="864" ht="12.5" spans="15:71">
      <c r="O864" s="226"/>
      <c r="P864" s="226"/>
      <c r="Z864" s="226"/>
      <c r="AA864" s="226"/>
      <c r="AK864" s="226"/>
      <c r="AL864" s="226"/>
      <c r="AV864" s="226"/>
      <c r="AW864" s="226"/>
      <c r="BG864" s="226"/>
      <c r="BH864" s="226"/>
      <c r="BR864" s="226"/>
      <c r="BS864" s="226"/>
    </row>
    <row r="865" ht="12.5" spans="15:71">
      <c r="O865" s="226"/>
      <c r="P865" s="226"/>
      <c r="Z865" s="226"/>
      <c r="AA865" s="226"/>
      <c r="AK865" s="226"/>
      <c r="AL865" s="226"/>
      <c r="AV865" s="226"/>
      <c r="AW865" s="226"/>
      <c r="BG865" s="226"/>
      <c r="BH865" s="226"/>
      <c r="BR865" s="226"/>
      <c r="BS865" s="226"/>
    </row>
    <row r="866" ht="12.5" spans="15:71">
      <c r="O866" s="226"/>
      <c r="P866" s="226"/>
      <c r="Z866" s="226"/>
      <c r="AA866" s="226"/>
      <c r="AK866" s="226"/>
      <c r="AL866" s="226"/>
      <c r="AV866" s="226"/>
      <c r="AW866" s="226"/>
      <c r="BG866" s="226"/>
      <c r="BH866" s="226"/>
      <c r="BR866" s="226"/>
      <c r="BS866" s="226"/>
    </row>
    <row r="867" ht="12.5" spans="15:71">
      <c r="O867" s="226"/>
      <c r="P867" s="226"/>
      <c r="Z867" s="226"/>
      <c r="AA867" s="226"/>
      <c r="AK867" s="226"/>
      <c r="AL867" s="226"/>
      <c r="AV867" s="226"/>
      <c r="AW867" s="226"/>
      <c r="BG867" s="226"/>
      <c r="BH867" s="226"/>
      <c r="BR867" s="226"/>
      <c r="BS867" s="226"/>
    </row>
    <row r="868" ht="12.5" spans="15:71">
      <c r="O868" s="226"/>
      <c r="P868" s="226"/>
      <c r="Z868" s="226"/>
      <c r="AA868" s="226"/>
      <c r="AK868" s="226"/>
      <c r="AL868" s="226"/>
      <c r="AV868" s="226"/>
      <c r="AW868" s="226"/>
      <c r="BG868" s="226"/>
      <c r="BH868" s="226"/>
      <c r="BR868" s="226"/>
      <c r="BS868" s="226"/>
    </row>
    <row r="869" ht="12.5" spans="15:71">
      <c r="O869" s="226"/>
      <c r="P869" s="226"/>
      <c r="Z869" s="226"/>
      <c r="AA869" s="226"/>
      <c r="AK869" s="226"/>
      <c r="AL869" s="226"/>
      <c r="AV869" s="226"/>
      <c r="AW869" s="226"/>
      <c r="BG869" s="226"/>
      <c r="BH869" s="226"/>
      <c r="BR869" s="226"/>
      <c r="BS869" s="226"/>
    </row>
    <row r="870" ht="12.5" spans="15:71">
      <c r="O870" s="226"/>
      <c r="P870" s="226"/>
      <c r="Z870" s="226"/>
      <c r="AA870" s="226"/>
      <c r="AK870" s="226"/>
      <c r="AL870" s="226"/>
      <c r="AV870" s="226"/>
      <c r="AW870" s="226"/>
      <c r="BG870" s="226"/>
      <c r="BH870" s="226"/>
      <c r="BR870" s="226"/>
      <c r="BS870" s="226"/>
    </row>
    <row r="871" ht="12.5" spans="15:71">
      <c r="O871" s="226"/>
      <c r="P871" s="226"/>
      <c r="Z871" s="226"/>
      <c r="AA871" s="226"/>
      <c r="AK871" s="226"/>
      <c r="AL871" s="226"/>
      <c r="AV871" s="226"/>
      <c r="AW871" s="226"/>
      <c r="BG871" s="226"/>
      <c r="BH871" s="226"/>
      <c r="BR871" s="226"/>
      <c r="BS871" s="226"/>
    </row>
    <row r="872" ht="12.5" spans="15:71">
      <c r="O872" s="226"/>
      <c r="P872" s="226"/>
      <c r="Z872" s="226"/>
      <c r="AA872" s="226"/>
      <c r="AK872" s="226"/>
      <c r="AL872" s="226"/>
      <c r="AV872" s="226"/>
      <c r="AW872" s="226"/>
      <c r="BG872" s="226"/>
      <c r="BH872" s="226"/>
      <c r="BR872" s="226"/>
      <c r="BS872" s="226"/>
    </row>
    <row r="873" ht="12.5" spans="15:71">
      <c r="O873" s="226"/>
      <c r="P873" s="226"/>
      <c r="Z873" s="226"/>
      <c r="AA873" s="226"/>
      <c r="AK873" s="226"/>
      <c r="AL873" s="226"/>
      <c r="AV873" s="226"/>
      <c r="AW873" s="226"/>
      <c r="BG873" s="226"/>
      <c r="BH873" s="226"/>
      <c r="BR873" s="226"/>
      <c r="BS873" s="226"/>
    </row>
    <row r="874" ht="12.5" spans="15:71">
      <c r="O874" s="226"/>
      <c r="P874" s="226"/>
      <c r="Z874" s="226"/>
      <c r="AA874" s="226"/>
      <c r="AK874" s="226"/>
      <c r="AL874" s="226"/>
      <c r="AV874" s="226"/>
      <c r="AW874" s="226"/>
      <c r="BG874" s="226"/>
      <c r="BH874" s="226"/>
      <c r="BR874" s="226"/>
      <c r="BS874" s="226"/>
    </row>
    <row r="875" ht="12.5" spans="15:71">
      <c r="O875" s="226"/>
      <c r="P875" s="226"/>
      <c r="Z875" s="226"/>
      <c r="AA875" s="226"/>
      <c r="AK875" s="226"/>
      <c r="AL875" s="226"/>
      <c r="AV875" s="226"/>
      <c r="AW875" s="226"/>
      <c r="BG875" s="226"/>
      <c r="BH875" s="226"/>
      <c r="BR875" s="226"/>
      <c r="BS875" s="226"/>
    </row>
    <row r="876" ht="12.5" spans="15:71">
      <c r="O876" s="226"/>
      <c r="P876" s="226"/>
      <c r="Z876" s="226"/>
      <c r="AA876" s="226"/>
      <c r="AK876" s="226"/>
      <c r="AL876" s="226"/>
      <c r="AV876" s="226"/>
      <c r="AW876" s="226"/>
      <c r="BG876" s="226"/>
      <c r="BH876" s="226"/>
      <c r="BR876" s="226"/>
      <c r="BS876" s="226"/>
    </row>
    <row r="877" ht="12.5" spans="15:71">
      <c r="O877" s="226"/>
      <c r="P877" s="226"/>
      <c r="Z877" s="226"/>
      <c r="AA877" s="226"/>
      <c r="AK877" s="226"/>
      <c r="AL877" s="226"/>
      <c r="AV877" s="226"/>
      <c r="AW877" s="226"/>
      <c r="BG877" s="226"/>
      <c r="BH877" s="226"/>
      <c r="BR877" s="226"/>
      <c r="BS877" s="226"/>
    </row>
    <row r="878" ht="12.5" spans="15:71">
      <c r="O878" s="226"/>
      <c r="P878" s="226"/>
      <c r="Z878" s="226"/>
      <c r="AA878" s="226"/>
      <c r="AK878" s="226"/>
      <c r="AL878" s="226"/>
      <c r="AV878" s="226"/>
      <c r="AW878" s="226"/>
      <c r="BG878" s="226"/>
      <c r="BH878" s="226"/>
      <c r="BR878" s="226"/>
      <c r="BS878" s="226"/>
    </row>
    <row r="879" ht="12.5" spans="15:71">
      <c r="O879" s="226"/>
      <c r="P879" s="226"/>
      <c r="Z879" s="226"/>
      <c r="AA879" s="226"/>
      <c r="AK879" s="226"/>
      <c r="AL879" s="226"/>
      <c r="AV879" s="226"/>
      <c r="AW879" s="226"/>
      <c r="BG879" s="226"/>
      <c r="BH879" s="226"/>
      <c r="BR879" s="226"/>
      <c r="BS879" s="226"/>
    </row>
    <row r="880" ht="12.5" spans="15:71">
      <c r="O880" s="226"/>
      <c r="P880" s="226"/>
      <c r="Z880" s="226"/>
      <c r="AA880" s="226"/>
      <c r="AK880" s="226"/>
      <c r="AL880" s="226"/>
      <c r="AV880" s="226"/>
      <c r="AW880" s="226"/>
      <c r="BG880" s="226"/>
      <c r="BH880" s="226"/>
      <c r="BR880" s="226"/>
      <c r="BS880" s="226"/>
    </row>
    <row r="881" ht="12.5" spans="15:71">
      <c r="O881" s="226"/>
      <c r="P881" s="226"/>
      <c r="Z881" s="226"/>
      <c r="AA881" s="226"/>
      <c r="AK881" s="226"/>
      <c r="AL881" s="226"/>
      <c r="AV881" s="226"/>
      <c r="AW881" s="226"/>
      <c r="BG881" s="226"/>
      <c r="BH881" s="226"/>
      <c r="BR881" s="226"/>
      <c r="BS881" s="226"/>
    </row>
    <row r="882" ht="12.5" spans="15:71">
      <c r="O882" s="226"/>
      <c r="P882" s="226"/>
      <c r="Z882" s="226"/>
      <c r="AA882" s="226"/>
      <c r="AK882" s="226"/>
      <c r="AL882" s="226"/>
      <c r="AV882" s="226"/>
      <c r="AW882" s="226"/>
      <c r="BG882" s="226"/>
      <c r="BH882" s="226"/>
      <c r="BR882" s="226"/>
      <c r="BS882" s="226"/>
    </row>
    <row r="883" ht="12.5" spans="15:71">
      <c r="O883" s="226"/>
      <c r="P883" s="226"/>
      <c r="Z883" s="226"/>
      <c r="AA883" s="226"/>
      <c r="AK883" s="226"/>
      <c r="AL883" s="226"/>
      <c r="AV883" s="226"/>
      <c r="AW883" s="226"/>
      <c r="BG883" s="226"/>
      <c r="BH883" s="226"/>
      <c r="BR883" s="226"/>
      <c r="BS883" s="226"/>
    </row>
    <row r="884" ht="12.5" spans="15:71">
      <c r="O884" s="226"/>
      <c r="P884" s="226"/>
      <c r="Z884" s="226"/>
      <c r="AA884" s="226"/>
      <c r="AK884" s="226"/>
      <c r="AL884" s="226"/>
      <c r="AV884" s="226"/>
      <c r="AW884" s="226"/>
      <c r="BG884" s="226"/>
      <c r="BH884" s="226"/>
      <c r="BR884" s="226"/>
      <c r="BS884" s="226"/>
    </row>
    <row r="885" ht="12.5" spans="15:71">
      <c r="O885" s="226"/>
      <c r="P885" s="226"/>
      <c r="Z885" s="226"/>
      <c r="AA885" s="226"/>
      <c r="AK885" s="226"/>
      <c r="AL885" s="226"/>
      <c r="AV885" s="226"/>
      <c r="AW885" s="226"/>
      <c r="BG885" s="226"/>
      <c r="BH885" s="226"/>
      <c r="BR885" s="226"/>
      <c r="BS885" s="226"/>
    </row>
    <row r="886" ht="12.5" spans="15:71">
      <c r="O886" s="226"/>
      <c r="P886" s="226"/>
      <c r="Z886" s="226"/>
      <c r="AA886" s="226"/>
      <c r="AK886" s="226"/>
      <c r="AL886" s="226"/>
      <c r="AV886" s="226"/>
      <c r="AW886" s="226"/>
      <c r="BG886" s="226"/>
      <c r="BH886" s="226"/>
      <c r="BR886" s="226"/>
      <c r="BS886" s="226"/>
    </row>
    <row r="887" ht="12.5" spans="15:71">
      <c r="O887" s="226"/>
      <c r="P887" s="226"/>
      <c r="Z887" s="226"/>
      <c r="AA887" s="226"/>
      <c r="AK887" s="226"/>
      <c r="AL887" s="226"/>
      <c r="AV887" s="226"/>
      <c r="AW887" s="226"/>
      <c r="BG887" s="226"/>
      <c r="BH887" s="226"/>
      <c r="BR887" s="226"/>
      <c r="BS887" s="226"/>
    </row>
    <row r="888" ht="12.5" spans="15:71">
      <c r="O888" s="226"/>
      <c r="P888" s="226"/>
      <c r="Z888" s="226"/>
      <c r="AA888" s="226"/>
      <c r="AK888" s="226"/>
      <c r="AL888" s="226"/>
      <c r="AV888" s="226"/>
      <c r="AW888" s="226"/>
      <c r="BG888" s="226"/>
      <c r="BH888" s="226"/>
      <c r="BR888" s="226"/>
      <c r="BS888" s="226"/>
    </row>
    <row r="889" ht="12.5" spans="15:71">
      <c r="O889" s="226"/>
      <c r="P889" s="226"/>
      <c r="Z889" s="226"/>
      <c r="AA889" s="226"/>
      <c r="AK889" s="226"/>
      <c r="AL889" s="226"/>
      <c r="AV889" s="226"/>
      <c r="AW889" s="226"/>
      <c r="BG889" s="226"/>
      <c r="BH889" s="226"/>
      <c r="BR889" s="226"/>
      <c r="BS889" s="226"/>
    </row>
    <row r="890" ht="12.5" spans="15:71">
      <c r="O890" s="226"/>
      <c r="P890" s="226"/>
      <c r="Z890" s="226"/>
      <c r="AA890" s="226"/>
      <c r="AK890" s="226"/>
      <c r="AL890" s="226"/>
      <c r="AV890" s="226"/>
      <c r="AW890" s="226"/>
      <c r="BG890" s="226"/>
      <c r="BH890" s="226"/>
      <c r="BR890" s="226"/>
      <c r="BS890" s="226"/>
    </row>
    <row r="891" ht="12.5" spans="15:71">
      <c r="O891" s="226"/>
      <c r="P891" s="226"/>
      <c r="Z891" s="226"/>
      <c r="AA891" s="226"/>
      <c r="AK891" s="226"/>
      <c r="AL891" s="226"/>
      <c r="AV891" s="226"/>
      <c r="AW891" s="226"/>
      <c r="BG891" s="226"/>
      <c r="BH891" s="226"/>
      <c r="BR891" s="226"/>
      <c r="BS891" s="226"/>
    </row>
    <row r="892" ht="12.5" spans="15:71">
      <c r="O892" s="226"/>
      <c r="P892" s="226"/>
      <c r="Z892" s="226"/>
      <c r="AA892" s="226"/>
      <c r="AK892" s="226"/>
      <c r="AL892" s="226"/>
      <c r="AV892" s="226"/>
      <c r="AW892" s="226"/>
      <c r="BG892" s="226"/>
      <c r="BH892" s="226"/>
      <c r="BR892" s="226"/>
      <c r="BS892" s="226"/>
    </row>
    <row r="893" ht="12.5" spans="15:71">
      <c r="O893" s="226"/>
      <c r="P893" s="226"/>
      <c r="Z893" s="226"/>
      <c r="AA893" s="226"/>
      <c r="AK893" s="226"/>
      <c r="AL893" s="226"/>
      <c r="AV893" s="226"/>
      <c r="AW893" s="226"/>
      <c r="BG893" s="226"/>
      <c r="BH893" s="226"/>
      <c r="BR893" s="226"/>
      <c r="BS893" s="226"/>
    </row>
    <row r="894" ht="12.5" spans="15:71">
      <c r="O894" s="226"/>
      <c r="P894" s="226"/>
      <c r="Z894" s="226"/>
      <c r="AA894" s="226"/>
      <c r="AK894" s="226"/>
      <c r="AL894" s="226"/>
      <c r="AV894" s="226"/>
      <c r="AW894" s="226"/>
      <c r="BG894" s="226"/>
      <c r="BH894" s="226"/>
      <c r="BR894" s="226"/>
      <c r="BS894" s="226"/>
    </row>
    <row r="895" ht="12.5" spans="15:71">
      <c r="O895" s="226"/>
      <c r="P895" s="226"/>
      <c r="Z895" s="226"/>
      <c r="AA895" s="226"/>
      <c r="AK895" s="226"/>
      <c r="AL895" s="226"/>
      <c r="AV895" s="226"/>
      <c r="AW895" s="226"/>
      <c r="BG895" s="226"/>
      <c r="BH895" s="226"/>
      <c r="BR895" s="226"/>
      <c r="BS895" s="226"/>
    </row>
    <row r="896" ht="12.5" spans="15:71">
      <c r="O896" s="226"/>
      <c r="P896" s="226"/>
      <c r="Z896" s="226"/>
      <c r="AA896" s="226"/>
      <c r="AK896" s="226"/>
      <c r="AL896" s="226"/>
      <c r="AV896" s="226"/>
      <c r="AW896" s="226"/>
      <c r="BG896" s="226"/>
      <c r="BH896" s="226"/>
      <c r="BR896" s="226"/>
      <c r="BS896" s="226"/>
    </row>
    <row r="897" ht="12.5" spans="15:71">
      <c r="O897" s="226"/>
      <c r="P897" s="226"/>
      <c r="Z897" s="226"/>
      <c r="AA897" s="226"/>
      <c r="AK897" s="226"/>
      <c r="AL897" s="226"/>
      <c r="AV897" s="226"/>
      <c r="AW897" s="226"/>
      <c r="BG897" s="226"/>
      <c r="BH897" s="226"/>
      <c r="BR897" s="226"/>
      <c r="BS897" s="226"/>
    </row>
    <row r="898" ht="12.5" spans="15:71">
      <c r="O898" s="226"/>
      <c r="P898" s="226"/>
      <c r="Z898" s="226"/>
      <c r="AA898" s="226"/>
      <c r="AK898" s="226"/>
      <c r="AL898" s="226"/>
      <c r="AV898" s="226"/>
      <c r="AW898" s="226"/>
      <c r="BG898" s="226"/>
      <c r="BH898" s="226"/>
      <c r="BR898" s="226"/>
      <c r="BS898" s="226"/>
    </row>
    <row r="899" ht="12.5" spans="15:71">
      <c r="O899" s="226"/>
      <c r="P899" s="226"/>
      <c r="Z899" s="226"/>
      <c r="AA899" s="226"/>
      <c r="AK899" s="226"/>
      <c r="AL899" s="226"/>
      <c r="AV899" s="226"/>
      <c r="AW899" s="226"/>
      <c r="BG899" s="226"/>
      <c r="BH899" s="226"/>
      <c r="BR899" s="226"/>
      <c r="BS899" s="226"/>
    </row>
    <row r="900" ht="12.5" spans="15:71">
      <c r="O900" s="226"/>
      <c r="P900" s="226"/>
      <c r="Z900" s="226"/>
      <c r="AA900" s="226"/>
      <c r="AK900" s="226"/>
      <c r="AL900" s="226"/>
      <c r="AV900" s="226"/>
      <c r="AW900" s="226"/>
      <c r="BG900" s="226"/>
      <c r="BH900" s="226"/>
      <c r="BR900" s="226"/>
      <c r="BS900" s="226"/>
    </row>
    <row r="901" ht="12.5" spans="15:71">
      <c r="O901" s="226"/>
      <c r="P901" s="226"/>
      <c r="Z901" s="226"/>
      <c r="AA901" s="226"/>
      <c r="AK901" s="226"/>
      <c r="AL901" s="226"/>
      <c r="AV901" s="226"/>
      <c r="AW901" s="226"/>
      <c r="BG901" s="226"/>
      <c r="BH901" s="226"/>
      <c r="BR901" s="226"/>
      <c r="BS901" s="226"/>
    </row>
    <row r="902" ht="12.5" spans="15:71">
      <c r="O902" s="226"/>
      <c r="P902" s="226"/>
      <c r="Z902" s="226"/>
      <c r="AA902" s="226"/>
      <c r="AK902" s="226"/>
      <c r="AL902" s="226"/>
      <c r="AV902" s="226"/>
      <c r="AW902" s="226"/>
      <c r="BG902" s="226"/>
      <c r="BH902" s="226"/>
      <c r="BR902" s="226"/>
      <c r="BS902" s="226"/>
    </row>
    <row r="903" ht="12.5" spans="15:71">
      <c r="O903" s="226"/>
      <c r="P903" s="226"/>
      <c r="Z903" s="226"/>
      <c r="AA903" s="226"/>
      <c r="AK903" s="226"/>
      <c r="AL903" s="226"/>
      <c r="AV903" s="226"/>
      <c r="AW903" s="226"/>
      <c r="BG903" s="226"/>
      <c r="BH903" s="226"/>
      <c r="BR903" s="226"/>
      <c r="BS903" s="226"/>
    </row>
    <row r="904" ht="12.5" spans="15:71">
      <c r="O904" s="226"/>
      <c r="P904" s="226"/>
      <c r="Z904" s="226"/>
      <c r="AA904" s="226"/>
      <c r="AK904" s="226"/>
      <c r="AL904" s="226"/>
      <c r="AV904" s="226"/>
      <c r="AW904" s="226"/>
      <c r="BG904" s="226"/>
      <c r="BH904" s="226"/>
      <c r="BR904" s="226"/>
      <c r="BS904" s="226"/>
    </row>
    <row r="905" ht="12.5" spans="15:71">
      <c r="O905" s="226"/>
      <c r="P905" s="226"/>
      <c r="Z905" s="226"/>
      <c r="AA905" s="226"/>
      <c r="AK905" s="226"/>
      <c r="AL905" s="226"/>
      <c r="AV905" s="226"/>
      <c r="AW905" s="226"/>
      <c r="BG905" s="226"/>
      <c r="BH905" s="226"/>
      <c r="BR905" s="226"/>
      <c r="BS905" s="226"/>
    </row>
    <row r="906" ht="12.5" spans="15:71">
      <c r="O906" s="226"/>
      <c r="P906" s="226"/>
      <c r="Z906" s="226"/>
      <c r="AA906" s="226"/>
      <c r="AK906" s="226"/>
      <c r="AL906" s="226"/>
      <c r="AV906" s="226"/>
      <c r="AW906" s="226"/>
      <c r="BG906" s="226"/>
      <c r="BH906" s="226"/>
      <c r="BR906" s="226"/>
      <c r="BS906" s="226"/>
    </row>
    <row r="907" ht="12.5" spans="15:71">
      <c r="O907" s="226"/>
      <c r="P907" s="226"/>
      <c r="Z907" s="226"/>
      <c r="AA907" s="226"/>
      <c r="AK907" s="226"/>
      <c r="AL907" s="226"/>
      <c r="AV907" s="226"/>
      <c r="AW907" s="226"/>
      <c r="BG907" s="226"/>
      <c r="BH907" s="226"/>
      <c r="BR907" s="226"/>
      <c r="BS907" s="226"/>
    </row>
    <row r="908" ht="12.5" spans="15:71">
      <c r="O908" s="226"/>
      <c r="P908" s="226"/>
      <c r="Z908" s="226"/>
      <c r="AA908" s="226"/>
      <c r="AK908" s="226"/>
      <c r="AL908" s="226"/>
      <c r="AV908" s="226"/>
      <c r="AW908" s="226"/>
      <c r="BG908" s="226"/>
      <c r="BH908" s="226"/>
      <c r="BR908" s="226"/>
      <c r="BS908" s="226"/>
    </row>
    <row r="909" ht="12.5" spans="15:71">
      <c r="O909" s="226"/>
      <c r="P909" s="226"/>
      <c r="Z909" s="226"/>
      <c r="AA909" s="226"/>
      <c r="AK909" s="226"/>
      <c r="AL909" s="226"/>
      <c r="AV909" s="226"/>
      <c r="AW909" s="226"/>
      <c r="BG909" s="226"/>
      <c r="BH909" s="226"/>
      <c r="BR909" s="226"/>
      <c r="BS909" s="226"/>
    </row>
    <row r="910" ht="12.5" spans="15:71">
      <c r="O910" s="226"/>
      <c r="P910" s="226"/>
      <c r="Z910" s="226"/>
      <c r="AA910" s="226"/>
      <c r="AK910" s="226"/>
      <c r="AL910" s="226"/>
      <c r="AV910" s="226"/>
      <c r="AW910" s="226"/>
      <c r="BG910" s="226"/>
      <c r="BH910" s="226"/>
      <c r="BR910" s="226"/>
      <c r="BS910" s="226"/>
    </row>
    <row r="911" ht="12.5" spans="15:71">
      <c r="O911" s="226"/>
      <c r="P911" s="226"/>
      <c r="Z911" s="226"/>
      <c r="AA911" s="226"/>
      <c r="AK911" s="226"/>
      <c r="AL911" s="226"/>
      <c r="AV911" s="226"/>
      <c r="AW911" s="226"/>
      <c r="BG911" s="226"/>
      <c r="BH911" s="226"/>
      <c r="BR911" s="226"/>
      <c r="BS911" s="226"/>
    </row>
    <row r="912" ht="12.5" spans="15:71">
      <c r="O912" s="226"/>
      <c r="P912" s="226"/>
      <c r="Z912" s="226"/>
      <c r="AA912" s="226"/>
      <c r="AK912" s="226"/>
      <c r="AL912" s="226"/>
      <c r="AV912" s="226"/>
      <c r="AW912" s="226"/>
      <c r="BG912" s="226"/>
      <c r="BH912" s="226"/>
      <c r="BR912" s="226"/>
      <c r="BS912" s="226"/>
    </row>
    <row r="913" ht="12.5" spans="15:71">
      <c r="O913" s="226"/>
      <c r="P913" s="226"/>
      <c r="Z913" s="226"/>
      <c r="AA913" s="226"/>
      <c r="AK913" s="226"/>
      <c r="AL913" s="226"/>
      <c r="AV913" s="226"/>
      <c r="AW913" s="226"/>
      <c r="BG913" s="226"/>
      <c r="BH913" s="226"/>
      <c r="BR913" s="226"/>
      <c r="BS913" s="226"/>
    </row>
    <row r="914" ht="12.5" spans="15:71">
      <c r="O914" s="226"/>
      <c r="P914" s="226"/>
      <c r="Z914" s="226"/>
      <c r="AA914" s="226"/>
      <c r="AK914" s="226"/>
      <c r="AL914" s="226"/>
      <c r="AV914" s="226"/>
      <c r="AW914" s="226"/>
      <c r="BG914" s="226"/>
      <c r="BH914" s="226"/>
      <c r="BR914" s="226"/>
      <c r="BS914" s="226"/>
    </row>
    <row r="915" ht="12.5" spans="15:71">
      <c r="O915" s="226"/>
      <c r="P915" s="226"/>
      <c r="Z915" s="226"/>
      <c r="AA915" s="226"/>
      <c r="AK915" s="226"/>
      <c r="AL915" s="226"/>
      <c r="AV915" s="226"/>
      <c r="AW915" s="226"/>
      <c r="BG915" s="226"/>
      <c r="BH915" s="226"/>
      <c r="BR915" s="226"/>
      <c r="BS915" s="226"/>
    </row>
    <row r="916" ht="12.5" spans="15:71">
      <c r="O916" s="226"/>
      <c r="P916" s="226"/>
      <c r="Z916" s="226"/>
      <c r="AA916" s="226"/>
      <c r="AK916" s="226"/>
      <c r="AL916" s="226"/>
      <c r="AV916" s="226"/>
      <c r="AW916" s="226"/>
      <c r="BG916" s="226"/>
      <c r="BH916" s="226"/>
      <c r="BR916" s="226"/>
      <c r="BS916" s="226"/>
    </row>
    <row r="917" ht="12.5" spans="15:71">
      <c r="O917" s="226"/>
      <c r="P917" s="226"/>
      <c r="Z917" s="226"/>
      <c r="AA917" s="226"/>
      <c r="AK917" s="226"/>
      <c r="AL917" s="226"/>
      <c r="AV917" s="226"/>
      <c r="AW917" s="226"/>
      <c r="BG917" s="226"/>
      <c r="BH917" s="226"/>
      <c r="BR917" s="226"/>
      <c r="BS917" s="226"/>
    </row>
    <row r="918" ht="12.5" spans="15:71">
      <c r="O918" s="226"/>
      <c r="P918" s="226"/>
      <c r="Z918" s="226"/>
      <c r="AA918" s="226"/>
      <c r="AK918" s="226"/>
      <c r="AL918" s="226"/>
      <c r="AV918" s="226"/>
      <c r="AW918" s="226"/>
      <c r="BG918" s="226"/>
      <c r="BH918" s="226"/>
      <c r="BR918" s="226"/>
      <c r="BS918" s="226"/>
    </row>
    <row r="919" ht="12.5" spans="15:71">
      <c r="O919" s="226"/>
      <c r="P919" s="226"/>
      <c r="Z919" s="226"/>
      <c r="AA919" s="226"/>
      <c r="AK919" s="226"/>
      <c r="AL919" s="226"/>
      <c r="AV919" s="226"/>
      <c r="AW919" s="226"/>
      <c r="BG919" s="226"/>
      <c r="BH919" s="226"/>
      <c r="BR919" s="226"/>
      <c r="BS919" s="226"/>
    </row>
    <row r="920" ht="12.5" spans="15:71">
      <c r="O920" s="226"/>
      <c r="P920" s="226"/>
      <c r="Z920" s="226"/>
      <c r="AA920" s="226"/>
      <c r="AK920" s="226"/>
      <c r="AL920" s="226"/>
      <c r="AV920" s="226"/>
      <c r="AW920" s="226"/>
      <c r="BG920" s="226"/>
      <c r="BH920" s="226"/>
      <c r="BR920" s="226"/>
      <c r="BS920" s="226"/>
    </row>
    <row r="921" ht="12.5" spans="15:71">
      <c r="O921" s="226"/>
      <c r="P921" s="226"/>
      <c r="Z921" s="226"/>
      <c r="AA921" s="226"/>
      <c r="AK921" s="226"/>
      <c r="AL921" s="226"/>
      <c r="AV921" s="226"/>
      <c r="AW921" s="226"/>
      <c r="BG921" s="226"/>
      <c r="BH921" s="226"/>
      <c r="BR921" s="226"/>
      <c r="BS921" s="226"/>
    </row>
    <row r="922" ht="12.5" spans="15:71">
      <c r="O922" s="226"/>
      <c r="P922" s="226"/>
      <c r="Z922" s="226"/>
      <c r="AA922" s="226"/>
      <c r="AK922" s="226"/>
      <c r="AL922" s="226"/>
      <c r="AV922" s="226"/>
      <c r="AW922" s="226"/>
      <c r="BG922" s="226"/>
      <c r="BH922" s="226"/>
      <c r="BR922" s="226"/>
      <c r="BS922" s="226"/>
    </row>
    <row r="923" ht="12.5" spans="15:71">
      <c r="O923" s="226"/>
      <c r="P923" s="226"/>
      <c r="Z923" s="226"/>
      <c r="AA923" s="226"/>
      <c r="AK923" s="226"/>
      <c r="AL923" s="226"/>
      <c r="AV923" s="226"/>
      <c r="AW923" s="226"/>
      <c r="BG923" s="226"/>
      <c r="BH923" s="226"/>
      <c r="BR923" s="226"/>
      <c r="BS923" s="226"/>
    </row>
    <row r="924" ht="12.5" spans="15:71">
      <c r="O924" s="226"/>
      <c r="P924" s="226"/>
      <c r="Z924" s="226"/>
      <c r="AA924" s="226"/>
      <c r="AK924" s="226"/>
      <c r="AL924" s="226"/>
      <c r="AV924" s="226"/>
      <c r="AW924" s="226"/>
      <c r="BG924" s="226"/>
      <c r="BH924" s="226"/>
      <c r="BR924" s="226"/>
      <c r="BS924" s="226"/>
    </row>
    <row r="925" ht="12.5" spans="15:71">
      <c r="O925" s="226"/>
      <c r="P925" s="226"/>
      <c r="Z925" s="226"/>
      <c r="AA925" s="226"/>
      <c r="AK925" s="226"/>
      <c r="AL925" s="226"/>
      <c r="AV925" s="226"/>
      <c r="AW925" s="226"/>
      <c r="BG925" s="226"/>
      <c r="BH925" s="226"/>
      <c r="BR925" s="226"/>
      <c r="BS925" s="226"/>
    </row>
    <row r="926" ht="12.5" spans="15:71">
      <c r="O926" s="226"/>
      <c r="P926" s="226"/>
      <c r="Z926" s="226"/>
      <c r="AA926" s="226"/>
      <c r="AK926" s="226"/>
      <c r="AL926" s="226"/>
      <c r="AV926" s="226"/>
      <c r="AW926" s="226"/>
      <c r="BG926" s="226"/>
      <c r="BH926" s="226"/>
      <c r="BR926" s="226"/>
      <c r="BS926" s="226"/>
    </row>
    <row r="927" ht="12.5" spans="15:71">
      <c r="O927" s="226"/>
      <c r="P927" s="226"/>
      <c r="Z927" s="226"/>
      <c r="AA927" s="226"/>
      <c r="AK927" s="226"/>
      <c r="AL927" s="226"/>
      <c r="AV927" s="226"/>
      <c r="AW927" s="226"/>
      <c r="BG927" s="226"/>
      <c r="BH927" s="226"/>
      <c r="BR927" s="226"/>
      <c r="BS927" s="226"/>
    </row>
    <row r="928" ht="12.5" spans="15:71">
      <c r="O928" s="226"/>
      <c r="P928" s="226"/>
      <c r="Z928" s="226"/>
      <c r="AA928" s="226"/>
      <c r="AK928" s="226"/>
      <c r="AL928" s="226"/>
      <c r="AV928" s="226"/>
      <c r="AW928" s="226"/>
      <c r="BG928" s="226"/>
      <c r="BH928" s="226"/>
      <c r="BR928" s="226"/>
      <c r="BS928" s="226"/>
    </row>
    <row r="929" ht="12.5" spans="15:71">
      <c r="O929" s="226"/>
      <c r="P929" s="226"/>
      <c r="Z929" s="226"/>
      <c r="AA929" s="226"/>
      <c r="AK929" s="226"/>
      <c r="AL929" s="226"/>
      <c r="AV929" s="226"/>
      <c r="AW929" s="226"/>
      <c r="BG929" s="226"/>
      <c r="BH929" s="226"/>
      <c r="BR929" s="226"/>
      <c r="BS929" s="226"/>
    </row>
    <row r="930" ht="12.5" spans="15:71">
      <c r="O930" s="226"/>
      <c r="P930" s="226"/>
      <c r="Z930" s="226"/>
      <c r="AA930" s="226"/>
      <c r="AK930" s="226"/>
      <c r="AL930" s="226"/>
      <c r="AV930" s="226"/>
      <c r="AW930" s="226"/>
      <c r="BG930" s="226"/>
      <c r="BH930" s="226"/>
      <c r="BR930" s="226"/>
      <c r="BS930" s="226"/>
    </row>
    <row r="931" ht="12.5" spans="15:71">
      <c r="O931" s="226"/>
      <c r="P931" s="226"/>
      <c r="Z931" s="226"/>
      <c r="AA931" s="226"/>
      <c r="AK931" s="226"/>
      <c r="AL931" s="226"/>
      <c r="AV931" s="226"/>
      <c r="AW931" s="226"/>
      <c r="BG931" s="226"/>
      <c r="BH931" s="226"/>
      <c r="BR931" s="226"/>
      <c r="BS931" s="226"/>
    </row>
    <row r="932" ht="12.5" spans="15:71">
      <c r="O932" s="226"/>
      <c r="P932" s="226"/>
      <c r="Z932" s="226"/>
      <c r="AA932" s="226"/>
      <c r="AK932" s="226"/>
      <c r="AL932" s="226"/>
      <c r="AV932" s="226"/>
      <c r="AW932" s="226"/>
      <c r="BG932" s="226"/>
      <c r="BH932" s="226"/>
      <c r="BR932" s="226"/>
      <c r="BS932" s="226"/>
    </row>
    <row r="933" ht="12.5" spans="15:71">
      <c r="O933" s="226"/>
      <c r="P933" s="226"/>
      <c r="Z933" s="226"/>
      <c r="AA933" s="226"/>
      <c r="AK933" s="226"/>
      <c r="AL933" s="226"/>
      <c r="AV933" s="226"/>
      <c r="AW933" s="226"/>
      <c r="BG933" s="226"/>
      <c r="BH933" s="226"/>
      <c r="BR933" s="226"/>
      <c r="BS933" s="226"/>
    </row>
    <row r="934" ht="12.5" spans="15:71">
      <c r="O934" s="226"/>
      <c r="P934" s="226"/>
      <c r="Z934" s="226"/>
      <c r="AA934" s="226"/>
      <c r="AK934" s="226"/>
      <c r="AL934" s="226"/>
      <c r="AV934" s="226"/>
      <c r="AW934" s="226"/>
      <c r="BG934" s="226"/>
      <c r="BH934" s="226"/>
      <c r="BR934" s="226"/>
      <c r="BS934" s="226"/>
    </row>
    <row r="935" ht="12.5" spans="15:71">
      <c r="O935" s="226"/>
      <c r="P935" s="226"/>
      <c r="Z935" s="226"/>
      <c r="AA935" s="226"/>
      <c r="AK935" s="226"/>
      <c r="AL935" s="226"/>
      <c r="AV935" s="226"/>
      <c r="AW935" s="226"/>
      <c r="BG935" s="226"/>
      <c r="BH935" s="226"/>
      <c r="BR935" s="226"/>
      <c r="BS935" s="226"/>
    </row>
    <row r="936" ht="12.5" spans="15:71">
      <c r="O936" s="226"/>
      <c r="P936" s="226"/>
      <c r="Z936" s="226"/>
      <c r="AA936" s="226"/>
      <c r="AK936" s="226"/>
      <c r="AL936" s="226"/>
      <c r="AV936" s="226"/>
      <c r="AW936" s="226"/>
      <c r="BG936" s="226"/>
      <c r="BH936" s="226"/>
      <c r="BR936" s="226"/>
      <c r="BS936" s="226"/>
    </row>
    <row r="937" ht="12.5" spans="15:71">
      <c r="O937" s="226"/>
      <c r="P937" s="226"/>
      <c r="Z937" s="226"/>
      <c r="AA937" s="226"/>
      <c r="AK937" s="226"/>
      <c r="AL937" s="226"/>
      <c r="AV937" s="226"/>
      <c r="AW937" s="226"/>
      <c r="BG937" s="226"/>
      <c r="BH937" s="226"/>
      <c r="BR937" s="226"/>
      <c r="BS937" s="226"/>
    </row>
    <row r="938" ht="12.5" spans="15:71">
      <c r="O938" s="226"/>
      <c r="P938" s="226"/>
      <c r="Z938" s="226"/>
      <c r="AA938" s="226"/>
      <c r="AK938" s="226"/>
      <c r="AL938" s="226"/>
      <c r="AV938" s="226"/>
      <c r="AW938" s="226"/>
      <c r="BG938" s="226"/>
      <c r="BH938" s="226"/>
      <c r="BR938" s="226"/>
      <c r="BS938" s="226"/>
    </row>
    <row r="939" ht="12.5" spans="15:71">
      <c r="O939" s="226"/>
      <c r="P939" s="226"/>
      <c r="Z939" s="226"/>
      <c r="AA939" s="226"/>
      <c r="AK939" s="226"/>
      <c r="AL939" s="226"/>
      <c r="AV939" s="226"/>
      <c r="AW939" s="226"/>
      <c r="BG939" s="226"/>
      <c r="BH939" s="226"/>
      <c r="BR939" s="226"/>
      <c r="BS939" s="226"/>
    </row>
    <row r="940" ht="12.5" spans="15:71">
      <c r="O940" s="226"/>
      <c r="P940" s="226"/>
      <c r="Z940" s="226"/>
      <c r="AA940" s="226"/>
      <c r="AK940" s="226"/>
      <c r="AL940" s="226"/>
      <c r="AV940" s="226"/>
      <c r="AW940" s="226"/>
      <c r="BG940" s="226"/>
      <c r="BH940" s="226"/>
      <c r="BR940" s="226"/>
      <c r="BS940" s="226"/>
    </row>
    <row r="941" ht="12.5" spans="15:71">
      <c r="O941" s="226"/>
      <c r="P941" s="226"/>
      <c r="Z941" s="226"/>
      <c r="AA941" s="226"/>
      <c r="AK941" s="226"/>
      <c r="AL941" s="226"/>
      <c r="AV941" s="226"/>
      <c r="AW941" s="226"/>
      <c r="BG941" s="226"/>
      <c r="BH941" s="226"/>
      <c r="BR941" s="226"/>
      <c r="BS941" s="226"/>
    </row>
    <row r="942" ht="12.5" spans="15:71">
      <c r="O942" s="226"/>
      <c r="P942" s="226"/>
      <c r="Z942" s="226"/>
      <c r="AA942" s="226"/>
      <c r="AK942" s="226"/>
      <c r="AL942" s="226"/>
      <c r="AV942" s="226"/>
      <c r="AW942" s="226"/>
      <c r="BG942" s="226"/>
      <c r="BH942" s="226"/>
      <c r="BR942" s="226"/>
      <c r="BS942" s="226"/>
    </row>
    <row r="943" ht="12.5" spans="15:71">
      <c r="O943" s="226"/>
      <c r="P943" s="226"/>
      <c r="Z943" s="226"/>
      <c r="AA943" s="226"/>
      <c r="AK943" s="226"/>
      <c r="AL943" s="226"/>
      <c r="AV943" s="226"/>
      <c r="AW943" s="226"/>
      <c r="BG943" s="226"/>
      <c r="BH943" s="226"/>
      <c r="BR943" s="226"/>
      <c r="BS943" s="226"/>
    </row>
    <row r="944" ht="12.5" spans="15:71">
      <c r="O944" s="226"/>
      <c r="P944" s="226"/>
      <c r="Z944" s="226"/>
      <c r="AA944" s="226"/>
      <c r="AK944" s="226"/>
      <c r="AL944" s="226"/>
      <c r="AV944" s="226"/>
      <c r="AW944" s="226"/>
      <c r="BG944" s="226"/>
      <c r="BH944" s="226"/>
      <c r="BR944" s="226"/>
      <c r="BS944" s="226"/>
    </row>
    <row r="945" ht="12.5" spans="15:71">
      <c r="O945" s="226"/>
      <c r="P945" s="226"/>
      <c r="Z945" s="226"/>
      <c r="AA945" s="226"/>
      <c r="AK945" s="226"/>
      <c r="AL945" s="226"/>
      <c r="AV945" s="226"/>
      <c r="AW945" s="226"/>
      <c r="BG945" s="226"/>
      <c r="BH945" s="226"/>
      <c r="BR945" s="226"/>
      <c r="BS945" s="226"/>
    </row>
    <row r="946" ht="12.5" spans="15:71">
      <c r="O946" s="226"/>
      <c r="P946" s="226"/>
      <c r="Z946" s="226"/>
      <c r="AA946" s="226"/>
      <c r="AK946" s="226"/>
      <c r="AL946" s="226"/>
      <c r="AV946" s="226"/>
      <c r="AW946" s="226"/>
      <c r="BG946" s="226"/>
      <c r="BH946" s="226"/>
      <c r="BR946" s="226"/>
      <c r="BS946" s="226"/>
    </row>
    <row r="947" ht="12.5" spans="15:71">
      <c r="O947" s="226"/>
      <c r="P947" s="226"/>
      <c r="Z947" s="226"/>
      <c r="AA947" s="226"/>
      <c r="AK947" s="226"/>
      <c r="AL947" s="226"/>
      <c r="AV947" s="226"/>
      <c r="AW947" s="226"/>
      <c r="BG947" s="226"/>
      <c r="BH947" s="226"/>
      <c r="BR947" s="226"/>
      <c r="BS947" s="226"/>
    </row>
    <row r="948" ht="12.5" spans="15:71">
      <c r="O948" s="226"/>
      <c r="P948" s="226"/>
      <c r="Z948" s="226"/>
      <c r="AA948" s="226"/>
      <c r="AK948" s="226"/>
      <c r="AL948" s="226"/>
      <c r="AV948" s="226"/>
      <c r="AW948" s="226"/>
      <c r="BG948" s="226"/>
      <c r="BH948" s="226"/>
      <c r="BR948" s="226"/>
      <c r="BS948" s="226"/>
    </row>
    <row r="949" ht="12.5" spans="15:71">
      <c r="O949" s="226"/>
      <c r="P949" s="226"/>
      <c r="Z949" s="226"/>
      <c r="AA949" s="226"/>
      <c r="AK949" s="226"/>
      <c r="AL949" s="226"/>
      <c r="AV949" s="226"/>
      <c r="AW949" s="226"/>
      <c r="BG949" s="226"/>
      <c r="BH949" s="226"/>
      <c r="BR949" s="226"/>
      <c r="BS949" s="226"/>
    </row>
    <row r="950" ht="12.5" spans="15:71">
      <c r="O950" s="226"/>
      <c r="P950" s="226"/>
      <c r="Z950" s="226"/>
      <c r="AA950" s="226"/>
      <c r="AK950" s="226"/>
      <c r="AL950" s="226"/>
      <c r="AV950" s="226"/>
      <c r="AW950" s="226"/>
      <c r="BG950" s="226"/>
      <c r="BH950" s="226"/>
      <c r="BR950" s="226"/>
      <c r="BS950" s="226"/>
    </row>
    <row r="951" ht="12.5" spans="15:71">
      <c r="O951" s="226"/>
      <c r="P951" s="226"/>
      <c r="Z951" s="226"/>
      <c r="AA951" s="226"/>
      <c r="AK951" s="226"/>
      <c r="AL951" s="226"/>
      <c r="AV951" s="226"/>
      <c r="AW951" s="226"/>
      <c r="BG951" s="226"/>
      <c r="BH951" s="226"/>
      <c r="BR951" s="226"/>
      <c r="BS951" s="226"/>
    </row>
    <row r="952" ht="12.5" spans="15:71">
      <c r="O952" s="226"/>
      <c r="P952" s="226"/>
      <c r="Z952" s="226"/>
      <c r="AA952" s="226"/>
      <c r="AK952" s="226"/>
      <c r="AL952" s="226"/>
      <c r="AV952" s="226"/>
      <c r="AW952" s="226"/>
      <c r="BG952" s="226"/>
      <c r="BH952" s="226"/>
      <c r="BR952" s="226"/>
      <c r="BS952" s="226"/>
    </row>
    <row r="953" ht="12.5" spans="15:71">
      <c r="O953" s="226"/>
      <c r="P953" s="226"/>
      <c r="Z953" s="226"/>
      <c r="AA953" s="226"/>
      <c r="AK953" s="226"/>
      <c r="AL953" s="226"/>
      <c r="AV953" s="226"/>
      <c r="AW953" s="226"/>
      <c r="BG953" s="226"/>
      <c r="BH953" s="226"/>
      <c r="BR953" s="226"/>
      <c r="BS953" s="226"/>
    </row>
    <row r="954" ht="12.5" spans="15:71">
      <c r="O954" s="226"/>
      <c r="P954" s="226"/>
      <c r="Z954" s="226"/>
      <c r="AA954" s="226"/>
      <c r="AK954" s="226"/>
      <c r="AL954" s="226"/>
      <c r="AV954" s="226"/>
      <c r="AW954" s="226"/>
      <c r="BG954" s="226"/>
      <c r="BH954" s="226"/>
      <c r="BR954" s="226"/>
      <c r="BS954" s="226"/>
    </row>
    <row r="955" ht="12.5" spans="15:71">
      <c r="O955" s="226"/>
      <c r="P955" s="226"/>
      <c r="Z955" s="226"/>
      <c r="AA955" s="226"/>
      <c r="AK955" s="226"/>
      <c r="AL955" s="226"/>
      <c r="AV955" s="226"/>
      <c r="AW955" s="226"/>
      <c r="BG955" s="226"/>
      <c r="BH955" s="226"/>
      <c r="BR955" s="226"/>
      <c r="BS955" s="226"/>
    </row>
    <row r="956" ht="12.5" spans="15:71">
      <c r="O956" s="226"/>
      <c r="P956" s="226"/>
      <c r="Z956" s="226"/>
      <c r="AA956" s="226"/>
      <c r="AK956" s="226"/>
      <c r="AL956" s="226"/>
      <c r="AV956" s="226"/>
      <c r="AW956" s="226"/>
      <c r="BG956" s="226"/>
      <c r="BH956" s="226"/>
      <c r="BR956" s="226"/>
      <c r="BS956" s="226"/>
    </row>
    <row r="957" ht="12.5" spans="15:71">
      <c r="O957" s="226"/>
      <c r="P957" s="226"/>
      <c r="Z957" s="226"/>
      <c r="AA957" s="226"/>
      <c r="AK957" s="226"/>
      <c r="AL957" s="226"/>
      <c r="AV957" s="226"/>
      <c r="AW957" s="226"/>
      <c r="BG957" s="226"/>
      <c r="BH957" s="226"/>
      <c r="BR957" s="226"/>
      <c r="BS957" s="226"/>
    </row>
    <row r="958" ht="12.5" spans="15:71">
      <c r="O958" s="226"/>
      <c r="P958" s="226"/>
      <c r="Z958" s="226"/>
      <c r="AA958" s="226"/>
      <c r="AK958" s="226"/>
      <c r="AL958" s="226"/>
      <c r="AV958" s="226"/>
      <c r="AW958" s="226"/>
      <c r="BG958" s="226"/>
      <c r="BH958" s="226"/>
      <c r="BR958" s="226"/>
      <c r="BS958" s="226"/>
    </row>
    <row r="959" ht="12.5" spans="15:71">
      <c r="O959" s="226"/>
      <c r="P959" s="226"/>
      <c r="Z959" s="226"/>
      <c r="AA959" s="226"/>
      <c r="AK959" s="226"/>
      <c r="AL959" s="226"/>
      <c r="AV959" s="226"/>
      <c r="AW959" s="226"/>
      <c r="BG959" s="226"/>
      <c r="BH959" s="226"/>
      <c r="BR959" s="226"/>
      <c r="BS959" s="226"/>
    </row>
    <row r="960" ht="12.5" spans="15:71">
      <c r="O960" s="226"/>
      <c r="P960" s="226"/>
      <c r="Z960" s="226"/>
      <c r="AA960" s="226"/>
      <c r="AK960" s="226"/>
      <c r="AL960" s="226"/>
      <c r="AV960" s="226"/>
      <c r="AW960" s="226"/>
      <c r="BG960" s="226"/>
      <c r="BH960" s="226"/>
      <c r="BR960" s="226"/>
      <c r="BS960" s="226"/>
    </row>
    <row r="961" ht="12.5" spans="15:71">
      <c r="O961" s="226"/>
      <c r="P961" s="226"/>
      <c r="Z961" s="226"/>
      <c r="AA961" s="226"/>
      <c r="AK961" s="226"/>
      <c r="AL961" s="226"/>
      <c r="AV961" s="226"/>
      <c r="AW961" s="226"/>
      <c r="BG961" s="226"/>
      <c r="BH961" s="226"/>
      <c r="BR961" s="226"/>
      <c r="BS961" s="226"/>
    </row>
    <row r="962" ht="12.5" spans="15:71">
      <c r="O962" s="226"/>
      <c r="P962" s="226"/>
      <c r="Z962" s="226"/>
      <c r="AA962" s="226"/>
      <c r="AK962" s="226"/>
      <c r="AL962" s="226"/>
      <c r="AV962" s="226"/>
      <c r="AW962" s="226"/>
      <c r="BG962" s="226"/>
      <c r="BH962" s="226"/>
      <c r="BR962" s="226"/>
      <c r="BS962" s="226"/>
    </row>
    <row r="963" ht="12.5" spans="15:71">
      <c r="O963" s="226"/>
      <c r="P963" s="226"/>
      <c r="Z963" s="226"/>
      <c r="AA963" s="226"/>
      <c r="AK963" s="226"/>
      <c r="AL963" s="226"/>
      <c r="AV963" s="226"/>
      <c r="AW963" s="226"/>
      <c r="BG963" s="226"/>
      <c r="BH963" s="226"/>
      <c r="BR963" s="226"/>
      <c r="BS963" s="226"/>
    </row>
    <row r="964" ht="12.5" spans="15:71">
      <c r="O964" s="226"/>
      <c r="P964" s="226"/>
      <c r="Z964" s="226"/>
      <c r="AA964" s="226"/>
      <c r="AK964" s="226"/>
      <c r="AL964" s="226"/>
      <c r="AV964" s="226"/>
      <c r="AW964" s="226"/>
      <c r="BG964" s="226"/>
      <c r="BH964" s="226"/>
      <c r="BR964" s="226"/>
      <c r="BS964" s="226"/>
    </row>
    <row r="965" ht="12.5" spans="15:71">
      <c r="O965" s="226"/>
      <c r="P965" s="226"/>
      <c r="Z965" s="226"/>
      <c r="AA965" s="226"/>
      <c r="AK965" s="226"/>
      <c r="AL965" s="226"/>
      <c r="AV965" s="226"/>
      <c r="AW965" s="226"/>
      <c r="BG965" s="226"/>
      <c r="BH965" s="226"/>
      <c r="BR965" s="226"/>
      <c r="BS965" s="226"/>
    </row>
    <row r="966" ht="12.5" spans="15:71">
      <c r="O966" s="226"/>
      <c r="P966" s="226"/>
      <c r="Z966" s="226"/>
      <c r="AA966" s="226"/>
      <c r="AK966" s="226"/>
      <c r="AL966" s="226"/>
      <c r="AV966" s="226"/>
      <c r="AW966" s="226"/>
      <c r="BG966" s="226"/>
      <c r="BH966" s="226"/>
      <c r="BR966" s="226"/>
      <c r="BS966" s="226"/>
    </row>
    <row r="967" ht="12.5" spans="15:71">
      <c r="O967" s="226"/>
      <c r="P967" s="226"/>
      <c r="Z967" s="226"/>
      <c r="AA967" s="226"/>
      <c r="AK967" s="226"/>
      <c r="AL967" s="226"/>
      <c r="AV967" s="226"/>
      <c r="AW967" s="226"/>
      <c r="BG967" s="226"/>
      <c r="BH967" s="226"/>
      <c r="BR967" s="226"/>
      <c r="BS967" s="226"/>
    </row>
    <row r="968" ht="12.5" spans="15:71">
      <c r="O968" s="226"/>
      <c r="P968" s="226"/>
      <c r="Z968" s="226"/>
      <c r="AA968" s="226"/>
      <c r="AK968" s="226"/>
      <c r="AL968" s="226"/>
      <c r="AV968" s="226"/>
      <c r="AW968" s="226"/>
      <c r="BG968" s="226"/>
      <c r="BH968" s="226"/>
      <c r="BR968" s="226"/>
      <c r="BS968" s="226"/>
    </row>
    <row r="969" ht="12.5" spans="15:71">
      <c r="O969" s="226"/>
      <c r="P969" s="226"/>
      <c r="Z969" s="226"/>
      <c r="AA969" s="226"/>
      <c r="AK969" s="226"/>
      <c r="AL969" s="226"/>
      <c r="AV969" s="226"/>
      <c r="AW969" s="226"/>
      <c r="BG969" s="226"/>
      <c r="BH969" s="226"/>
      <c r="BR969" s="226"/>
      <c r="BS969" s="226"/>
    </row>
    <row r="970" ht="12.5" spans="15:71">
      <c r="O970" s="226"/>
      <c r="P970" s="226"/>
      <c r="Z970" s="226"/>
      <c r="AA970" s="226"/>
      <c r="AK970" s="226"/>
      <c r="AL970" s="226"/>
      <c r="AV970" s="226"/>
      <c r="AW970" s="226"/>
      <c r="BG970" s="226"/>
      <c r="BH970" s="226"/>
      <c r="BR970" s="226"/>
      <c r="BS970" s="226"/>
    </row>
    <row r="971" ht="12.5" spans="15:71">
      <c r="O971" s="226"/>
      <c r="P971" s="226"/>
      <c r="Z971" s="226"/>
      <c r="AA971" s="226"/>
      <c r="AK971" s="226"/>
      <c r="AL971" s="226"/>
      <c r="AV971" s="226"/>
      <c r="AW971" s="226"/>
      <c r="BG971" s="226"/>
      <c r="BH971" s="226"/>
      <c r="BR971" s="226"/>
      <c r="BS971" s="226"/>
    </row>
    <row r="972" ht="12.5" spans="15:71">
      <c r="O972" s="226"/>
      <c r="P972" s="226"/>
      <c r="Z972" s="226"/>
      <c r="AA972" s="226"/>
      <c r="AK972" s="226"/>
      <c r="AL972" s="226"/>
      <c r="AV972" s="226"/>
      <c r="AW972" s="226"/>
      <c r="BG972" s="226"/>
      <c r="BH972" s="226"/>
      <c r="BR972" s="226"/>
      <c r="BS972" s="226"/>
    </row>
    <row r="973" ht="12.5" spans="15:71">
      <c r="O973" s="226"/>
      <c r="P973" s="226"/>
      <c r="Z973" s="226"/>
      <c r="AA973" s="226"/>
      <c r="AK973" s="226"/>
      <c r="AL973" s="226"/>
      <c r="AV973" s="226"/>
      <c r="AW973" s="226"/>
      <c r="BG973" s="226"/>
      <c r="BH973" s="226"/>
      <c r="BR973" s="226"/>
      <c r="BS973" s="226"/>
    </row>
    <row r="974" ht="12.5" spans="15:71">
      <c r="O974" s="226"/>
      <c r="P974" s="226"/>
      <c r="Z974" s="226"/>
      <c r="AA974" s="226"/>
      <c r="AK974" s="226"/>
      <c r="AL974" s="226"/>
      <c r="AV974" s="226"/>
      <c r="AW974" s="226"/>
      <c r="BG974" s="226"/>
      <c r="BH974" s="226"/>
      <c r="BR974" s="226"/>
      <c r="BS974" s="226"/>
    </row>
    <row r="975" ht="12.5" spans="15:71">
      <c r="O975" s="226"/>
      <c r="P975" s="226"/>
      <c r="Z975" s="226"/>
      <c r="AA975" s="226"/>
      <c r="AK975" s="226"/>
      <c r="AL975" s="226"/>
      <c r="AV975" s="226"/>
      <c r="AW975" s="226"/>
      <c r="BG975" s="226"/>
      <c r="BH975" s="226"/>
      <c r="BR975" s="226"/>
      <c r="BS975" s="226"/>
    </row>
    <row r="976" ht="12.5" spans="15:71">
      <c r="O976" s="226"/>
      <c r="P976" s="226"/>
      <c r="Z976" s="226"/>
      <c r="AA976" s="226"/>
      <c r="AK976" s="226"/>
      <c r="AL976" s="226"/>
      <c r="AV976" s="226"/>
      <c r="AW976" s="226"/>
      <c r="BG976" s="226"/>
      <c r="BH976" s="226"/>
      <c r="BR976" s="226"/>
      <c r="BS976" s="226"/>
    </row>
    <row r="977" ht="12.5" spans="15:71">
      <c r="O977" s="226"/>
      <c r="P977" s="226"/>
      <c r="Z977" s="226"/>
      <c r="AA977" s="226"/>
      <c r="AK977" s="226"/>
      <c r="AL977" s="226"/>
      <c r="AV977" s="226"/>
      <c r="AW977" s="226"/>
      <c r="BG977" s="226"/>
      <c r="BH977" s="226"/>
      <c r="BR977" s="226"/>
      <c r="BS977" s="226"/>
    </row>
    <row r="978" ht="12.5" spans="15:71">
      <c r="O978" s="226"/>
      <c r="P978" s="226"/>
      <c r="Z978" s="226"/>
      <c r="AA978" s="226"/>
      <c r="AK978" s="226"/>
      <c r="AL978" s="226"/>
      <c r="AV978" s="226"/>
      <c r="AW978" s="226"/>
      <c r="BG978" s="226"/>
      <c r="BH978" s="226"/>
      <c r="BR978" s="226"/>
      <c r="BS978" s="226"/>
    </row>
    <row r="979" ht="12.5" spans="15:71">
      <c r="O979" s="226"/>
      <c r="P979" s="226"/>
      <c r="Z979" s="226"/>
      <c r="AA979" s="226"/>
      <c r="AK979" s="226"/>
      <c r="AL979" s="226"/>
      <c r="AV979" s="226"/>
      <c r="AW979" s="226"/>
      <c r="BG979" s="226"/>
      <c r="BH979" s="226"/>
      <c r="BR979" s="226"/>
      <c r="BS979" s="226"/>
    </row>
    <row r="980" ht="12.5" spans="15:71">
      <c r="O980" s="226"/>
      <c r="P980" s="226"/>
      <c r="Z980" s="226"/>
      <c r="AA980" s="226"/>
      <c r="AK980" s="226"/>
      <c r="AL980" s="226"/>
      <c r="AV980" s="226"/>
      <c r="AW980" s="226"/>
      <c r="BG980" s="226"/>
      <c r="BH980" s="226"/>
      <c r="BR980" s="226"/>
      <c r="BS980" s="226"/>
    </row>
    <row r="981" ht="12.5" spans="15:71">
      <c r="O981" s="226"/>
      <c r="P981" s="226"/>
      <c r="Z981" s="226"/>
      <c r="AA981" s="226"/>
      <c r="AK981" s="226"/>
      <c r="AL981" s="226"/>
      <c r="AV981" s="226"/>
      <c r="AW981" s="226"/>
      <c r="BG981" s="226"/>
      <c r="BH981" s="226"/>
      <c r="BR981" s="226"/>
      <c r="BS981" s="226"/>
    </row>
    <row r="982" ht="12.5" spans="15:71">
      <c r="O982" s="226"/>
      <c r="P982" s="226"/>
      <c r="Z982" s="226"/>
      <c r="AA982" s="226"/>
      <c r="AK982" s="226"/>
      <c r="AL982" s="226"/>
      <c r="AV982" s="226"/>
      <c r="AW982" s="226"/>
      <c r="BG982" s="226"/>
      <c r="BH982" s="226"/>
      <c r="BR982" s="226"/>
      <c r="BS982" s="226"/>
    </row>
    <row r="983" ht="12.5" spans="15:71">
      <c r="O983" s="226"/>
      <c r="P983" s="226"/>
      <c r="Z983" s="226"/>
      <c r="AA983" s="226"/>
      <c r="AK983" s="226"/>
      <c r="AL983" s="226"/>
      <c r="AV983" s="226"/>
      <c r="AW983" s="226"/>
      <c r="BG983" s="226"/>
      <c r="BH983" s="226"/>
      <c r="BR983" s="226"/>
      <c r="BS983" s="226"/>
    </row>
    <row r="984" ht="12.5" spans="15:71">
      <c r="O984" s="226"/>
      <c r="P984" s="226"/>
      <c r="Z984" s="226"/>
      <c r="AA984" s="226"/>
      <c r="AK984" s="226"/>
      <c r="AL984" s="226"/>
      <c r="AV984" s="226"/>
      <c r="AW984" s="226"/>
      <c r="BG984" s="226"/>
      <c r="BH984" s="226"/>
      <c r="BR984" s="226"/>
      <c r="BS984" s="226"/>
    </row>
    <row r="985" ht="12.5" spans="15:71">
      <c r="O985" s="226"/>
      <c r="P985" s="226"/>
      <c r="Z985" s="226"/>
      <c r="AA985" s="226"/>
      <c r="AK985" s="226"/>
      <c r="AL985" s="226"/>
      <c r="AV985" s="226"/>
      <c r="AW985" s="226"/>
      <c r="BG985" s="226"/>
      <c r="BH985" s="226"/>
      <c r="BR985" s="226"/>
      <c r="BS985" s="226"/>
    </row>
    <row r="986" ht="12.5" spans="15:71">
      <c r="O986" s="226"/>
      <c r="P986" s="226"/>
      <c r="Z986" s="226"/>
      <c r="AA986" s="226"/>
      <c r="AK986" s="226"/>
      <c r="AL986" s="226"/>
      <c r="AV986" s="226"/>
      <c r="AW986" s="226"/>
      <c r="BG986" s="226"/>
      <c r="BH986" s="226"/>
      <c r="BR986" s="226"/>
      <c r="BS986" s="226"/>
    </row>
    <row r="987" ht="12.5" spans="15:71">
      <c r="O987" s="226"/>
      <c r="P987" s="226"/>
      <c r="Z987" s="226"/>
      <c r="AA987" s="226"/>
      <c r="AK987" s="226"/>
      <c r="AL987" s="226"/>
      <c r="AV987" s="226"/>
      <c r="AW987" s="226"/>
      <c r="BG987" s="226"/>
      <c r="BH987" s="226"/>
      <c r="BR987" s="226"/>
      <c r="BS987" s="226"/>
    </row>
    <row r="988" ht="12.5" spans="15:71">
      <c r="O988" s="226"/>
      <c r="P988" s="226"/>
      <c r="Z988" s="226"/>
      <c r="AA988" s="226"/>
      <c r="AK988" s="226"/>
      <c r="AL988" s="226"/>
      <c r="AV988" s="226"/>
      <c r="AW988" s="226"/>
      <c r="BG988" s="226"/>
      <c r="BH988" s="226"/>
      <c r="BR988" s="226"/>
      <c r="BS988" s="226"/>
    </row>
    <row r="989" ht="12.5" spans="15:71">
      <c r="O989" s="226"/>
      <c r="P989" s="226"/>
      <c r="Z989" s="226"/>
      <c r="AA989" s="226"/>
      <c r="AK989" s="226"/>
      <c r="AL989" s="226"/>
      <c r="AV989" s="226"/>
      <c r="AW989" s="226"/>
      <c r="BG989" s="226"/>
      <c r="BH989" s="226"/>
      <c r="BR989" s="226"/>
      <c r="BS989" s="226"/>
    </row>
    <row r="990" ht="12.5" spans="15:71">
      <c r="O990" s="226"/>
      <c r="P990" s="226"/>
      <c r="Z990" s="226"/>
      <c r="AA990" s="226"/>
      <c r="AK990" s="226"/>
      <c r="AL990" s="226"/>
      <c r="AV990" s="226"/>
      <c r="AW990" s="226"/>
      <c r="BG990" s="226"/>
      <c r="BH990" s="226"/>
      <c r="BR990" s="226"/>
      <c r="BS990" s="226"/>
    </row>
    <row r="991" ht="12.5" spans="15:71">
      <c r="O991" s="226"/>
      <c r="P991" s="226"/>
      <c r="Z991" s="226"/>
      <c r="AA991" s="226"/>
      <c r="AK991" s="226"/>
      <c r="AL991" s="226"/>
      <c r="AV991" s="226"/>
      <c r="AW991" s="226"/>
      <c r="BG991" s="226"/>
      <c r="BH991" s="226"/>
      <c r="BR991" s="226"/>
      <c r="BS991" s="226"/>
    </row>
    <row r="992" ht="12.5" spans="15:71">
      <c r="O992" s="226"/>
      <c r="P992" s="226"/>
      <c r="Z992" s="226"/>
      <c r="AA992" s="226"/>
      <c r="AK992" s="226"/>
      <c r="AL992" s="226"/>
      <c r="AV992" s="226"/>
      <c r="AW992" s="226"/>
      <c r="BG992" s="226"/>
      <c r="BH992" s="226"/>
      <c r="BR992" s="226"/>
      <c r="BS992" s="226"/>
    </row>
    <row r="993" ht="12.5" spans="15:71">
      <c r="O993" s="226"/>
      <c r="P993" s="226"/>
      <c r="Z993" s="226"/>
      <c r="AA993" s="226"/>
      <c r="AK993" s="226"/>
      <c r="AL993" s="226"/>
      <c r="AV993" s="226"/>
      <c r="AW993" s="226"/>
      <c r="BG993" s="226"/>
      <c r="BH993" s="226"/>
      <c r="BR993" s="226"/>
      <c r="BS993" s="226"/>
    </row>
    <row r="994" ht="12.5" spans="15:71">
      <c r="O994" s="226"/>
      <c r="P994" s="226"/>
      <c r="Z994" s="226"/>
      <c r="AA994" s="226"/>
      <c r="AK994" s="226"/>
      <c r="AL994" s="226"/>
      <c r="AV994" s="226"/>
      <c r="AW994" s="226"/>
      <c r="BG994" s="226"/>
      <c r="BH994" s="226"/>
      <c r="BR994" s="226"/>
      <c r="BS994" s="226"/>
    </row>
    <row r="995" ht="12.5" spans="15:71">
      <c r="O995" s="226"/>
      <c r="P995" s="226"/>
      <c r="Z995" s="226"/>
      <c r="AA995" s="226"/>
      <c r="AK995" s="226"/>
      <c r="AL995" s="226"/>
      <c r="AV995" s="226"/>
      <c r="AW995" s="226"/>
      <c r="BG995" s="226"/>
      <c r="BH995" s="226"/>
      <c r="BR995" s="226"/>
      <c r="BS995" s="226"/>
    </row>
    <row r="996" ht="12.5" spans="15:71">
      <c r="O996" s="226"/>
      <c r="P996" s="226"/>
      <c r="Z996" s="226"/>
      <c r="AA996" s="226"/>
      <c r="AK996" s="226"/>
      <c r="AL996" s="226"/>
      <c r="AV996" s="226"/>
      <c r="AW996" s="226"/>
      <c r="BG996" s="226"/>
      <c r="BH996" s="226"/>
      <c r="BR996" s="226"/>
      <c r="BS996" s="226"/>
    </row>
    <row r="997" ht="12.5" spans="15:71">
      <c r="O997" s="226"/>
      <c r="P997" s="226"/>
      <c r="Z997" s="226"/>
      <c r="AA997" s="226"/>
      <c r="AK997" s="226"/>
      <c r="AL997" s="226"/>
      <c r="AV997" s="226"/>
      <c r="AW997" s="226"/>
      <c r="BG997" s="226"/>
      <c r="BH997" s="226"/>
      <c r="BR997" s="226"/>
      <c r="BS997" s="226"/>
    </row>
    <row r="998" ht="12.5" spans="15:71">
      <c r="O998" s="226"/>
      <c r="P998" s="226"/>
      <c r="Z998" s="226"/>
      <c r="AA998" s="226"/>
      <c r="AK998" s="226"/>
      <c r="AL998" s="226"/>
      <c r="AV998" s="226"/>
      <c r="AW998" s="226"/>
      <c r="BG998" s="226"/>
      <c r="BH998" s="226"/>
      <c r="BR998" s="226"/>
      <c r="BS998" s="226"/>
    </row>
    <row r="999" ht="12.5" spans="15:71">
      <c r="O999" s="226"/>
      <c r="P999" s="226"/>
      <c r="Z999" s="226"/>
      <c r="AA999" s="226"/>
      <c r="AK999" s="226"/>
      <c r="AL999" s="226"/>
      <c r="AV999" s="226"/>
      <c r="AW999" s="226"/>
      <c r="BG999" s="226"/>
      <c r="BH999" s="226"/>
      <c r="BR999" s="226"/>
      <c r="BS999" s="226"/>
    </row>
    <row r="1000" ht="12.5" spans="15:71">
      <c r="O1000" s="226"/>
      <c r="P1000" s="226"/>
      <c r="Z1000" s="226"/>
      <c r="AA1000" s="226"/>
      <c r="AK1000" s="226"/>
      <c r="AL1000" s="226"/>
      <c r="AV1000" s="226"/>
      <c r="AW1000" s="226"/>
      <c r="BG1000" s="226"/>
      <c r="BH1000" s="226"/>
      <c r="BR1000" s="226"/>
      <c r="BS1000" s="226"/>
    </row>
    <row r="1001" ht="12.5" spans="15:71">
      <c r="O1001" s="226"/>
      <c r="P1001" s="226"/>
      <c r="Z1001" s="226"/>
      <c r="AA1001" s="226"/>
      <c r="AK1001" s="226"/>
      <c r="AL1001" s="226"/>
      <c r="AV1001" s="226"/>
      <c r="AW1001" s="226"/>
      <c r="BG1001" s="226"/>
      <c r="BH1001" s="226"/>
      <c r="BR1001" s="226"/>
      <c r="BS1001" s="226"/>
    </row>
    <row r="1002" ht="12.5" spans="15:71">
      <c r="O1002" s="226"/>
      <c r="P1002" s="226"/>
      <c r="Z1002" s="226"/>
      <c r="AA1002" s="226"/>
      <c r="AK1002" s="226"/>
      <c r="AL1002" s="226"/>
      <c r="AV1002" s="226"/>
      <c r="AW1002" s="226"/>
      <c r="BG1002" s="226"/>
      <c r="BH1002" s="226"/>
      <c r="BR1002" s="226"/>
      <c r="BS1002" s="226"/>
    </row>
  </sheetData>
  <hyperlinks>
    <hyperlink ref="C1" r:id="rId1" location="gid=2127157777" display="https://docs.google.com/spreadsheets/d/1OvB2YjEqKcQLjWc2xa4RF4y0ocP-l2ZU2S-wDQPj4yQ/edit#gid=2127157777"/>
  </hyperlink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Z1036"/>
  <sheetViews>
    <sheetView tabSelected="1" zoomScale="115" zoomScaleNormal="115" topLeftCell="F15" workbookViewId="0">
      <selection activeCell="M28" sqref="M28"/>
    </sheetView>
  </sheetViews>
  <sheetFormatPr defaultColWidth="12.6636363636364" defaultRowHeight="15.75" customHeight="1"/>
  <cols>
    <col min="1" max="1" width="12.6636363636364" customWidth="1"/>
    <col min="2" max="2" width="44.1090909090909" customWidth="1"/>
    <col min="3" max="3" width="12.6636363636364" customWidth="1"/>
    <col min="4" max="4" width="15.3363636363636" customWidth="1"/>
    <col min="5" max="5" width="15.8909090909091" customWidth="1"/>
    <col min="6" max="6" width="40.3363636363636" style="132" customWidth="1"/>
    <col min="7" max="7" width="31.2181818181818" customWidth="1"/>
    <col min="8" max="8" width="14.4454545454545" customWidth="1"/>
    <col min="9" max="9" width="14.7818181818182" customWidth="1"/>
    <col min="10" max="10" width="13.0727272727273" customWidth="1"/>
    <col min="20" max="20" width="21" customWidth="1"/>
  </cols>
  <sheetData>
    <row r="1" ht="26.25" customHeight="1" spans="1:10">
      <c r="A1" s="133" t="s">
        <v>307</v>
      </c>
      <c r="B1" s="134" t="s">
        <v>308</v>
      </c>
      <c r="F1"/>
      <c r="H1" s="135" t="s">
        <v>309</v>
      </c>
      <c r="J1" s="3"/>
    </row>
    <row r="2" ht="27.6" customHeight="1" spans="1:10">
      <c r="A2" s="136" t="s">
        <v>310</v>
      </c>
      <c r="B2" s="137" t="s">
        <v>311</v>
      </c>
      <c r="C2" s="3"/>
      <c r="D2" s="3"/>
      <c r="E2" s="3"/>
      <c r="F2" s="3"/>
      <c r="G2" s="3"/>
      <c r="H2" s="3"/>
      <c r="I2" s="3"/>
      <c r="J2" s="3"/>
    </row>
    <row r="3" ht="30" customHeight="1" spans="1:10">
      <c r="A3" s="138" t="s">
        <v>312</v>
      </c>
      <c r="B3" s="139" t="s">
        <v>313</v>
      </c>
      <c r="C3" s="139"/>
      <c r="D3" s="140" t="s">
        <v>314</v>
      </c>
      <c r="E3" s="141" t="s">
        <v>315</v>
      </c>
      <c r="F3" s="142" t="s">
        <v>316</v>
      </c>
      <c r="G3" s="3"/>
      <c r="H3" s="3"/>
      <c r="I3" s="3"/>
      <c r="J3" s="3"/>
    </row>
    <row r="4" ht="61.2" customHeight="1" spans="1:10">
      <c r="A4" s="143">
        <v>1</v>
      </c>
      <c r="B4" s="144" t="s">
        <v>317</v>
      </c>
      <c r="C4" s="145">
        <v>1</v>
      </c>
      <c r="D4" s="146">
        <f>C4</f>
        <v>1</v>
      </c>
      <c r="E4" s="147" t="e">
        <f t="shared" ref="E4:E11" si="0">D4/$C$12</f>
        <v>#REF!</v>
      </c>
      <c r="F4" s="148" t="s">
        <v>318</v>
      </c>
      <c r="G4" s="3"/>
      <c r="H4" s="3"/>
      <c r="I4" s="3"/>
      <c r="J4" s="3"/>
    </row>
    <row r="5" ht="31.8" customHeight="1" spans="1:10">
      <c r="A5" s="149">
        <v>2</v>
      </c>
      <c r="B5" s="150" t="s">
        <v>319</v>
      </c>
      <c r="C5" s="151">
        <v>0.36</v>
      </c>
      <c r="D5" s="152">
        <f>C5</f>
        <v>0.36</v>
      </c>
      <c r="E5" s="153" t="e">
        <f t="shared" si="0"/>
        <v>#REF!</v>
      </c>
      <c r="F5" s="154" t="s">
        <v>320</v>
      </c>
      <c r="G5" s="3"/>
      <c r="H5" s="3"/>
      <c r="I5" s="3"/>
      <c r="J5" s="3"/>
    </row>
    <row r="6" ht="48" customHeight="1" spans="1:10">
      <c r="A6" s="155">
        <v>3</v>
      </c>
      <c r="B6" s="150" t="s">
        <v>321</v>
      </c>
      <c r="C6" s="156">
        <v>30</v>
      </c>
      <c r="D6" s="157">
        <f>MAX(INDEX($F$39:$N$85,MATCH(B2,$F$39:$F$85,0),MATCH(B1,$F$38:$N$38,F7))*(C6-14),0)</f>
        <v>0.113408</v>
      </c>
      <c r="E6" s="153" t="e">
        <f t="shared" si="0"/>
        <v>#REF!</v>
      </c>
      <c r="F6" s="154" t="s">
        <v>322</v>
      </c>
      <c r="G6" s="3"/>
      <c r="H6" s="3"/>
      <c r="I6" s="3"/>
      <c r="J6" s="3"/>
    </row>
    <row r="7" ht="37.2" customHeight="1" spans="1:10">
      <c r="A7" s="158">
        <v>4</v>
      </c>
      <c r="B7" s="159" t="s">
        <v>323</v>
      </c>
      <c r="C7" s="160"/>
      <c r="D7" s="152" t="e">
        <f>VLOOKUP(B2,F38:N85,10,0)</f>
        <v>#REF!</v>
      </c>
      <c r="E7" s="153" t="e">
        <f t="shared" si="0"/>
        <v>#REF!</v>
      </c>
      <c r="F7" s="154"/>
      <c r="G7" s="3"/>
      <c r="H7" s="3"/>
      <c r="I7" s="3"/>
      <c r="J7" s="3"/>
    </row>
    <row r="8" ht="24.6" customHeight="1" spans="1:10">
      <c r="A8" s="161" t="s">
        <v>324</v>
      </c>
      <c r="B8" s="162"/>
      <c r="C8" s="163"/>
      <c r="D8" s="164" t="e">
        <f>D4+D5+D6+D7</f>
        <v>#REF!</v>
      </c>
      <c r="E8" s="165" t="e">
        <f t="shared" si="0"/>
        <v>#REF!</v>
      </c>
      <c r="F8" s="154"/>
      <c r="G8" s="3"/>
      <c r="H8" s="3"/>
      <c r="I8" s="3"/>
      <c r="J8" s="3"/>
    </row>
    <row r="9" ht="64.2" customHeight="1" spans="1:10">
      <c r="A9" s="166">
        <v>5</v>
      </c>
      <c r="B9" s="167" t="s">
        <v>325</v>
      </c>
      <c r="C9" s="168">
        <v>0.1</v>
      </c>
      <c r="D9" s="169" t="e">
        <f>D8*C9</f>
        <v>#REF!</v>
      </c>
      <c r="E9" s="170" t="e">
        <f t="shared" si="0"/>
        <v>#REF!</v>
      </c>
      <c r="F9" s="171" t="s">
        <v>326</v>
      </c>
      <c r="G9" s="3"/>
      <c r="H9" s="3"/>
      <c r="I9" s="3"/>
      <c r="J9" s="3"/>
    </row>
    <row r="10" ht="60" customHeight="1" spans="1:7">
      <c r="A10" s="172">
        <v>6</v>
      </c>
      <c r="B10" s="173" t="s">
        <v>327</v>
      </c>
      <c r="C10" s="174" t="e">
        <f>VLOOKUP(B2,F38:P85,12,0)</f>
        <v>#REF!</v>
      </c>
      <c r="D10" s="175" t="e">
        <f>C12*C10</f>
        <v>#REF!</v>
      </c>
      <c r="E10" s="176" t="e">
        <f t="shared" si="0"/>
        <v>#REF!</v>
      </c>
      <c r="F10" s="177"/>
      <c r="G10" s="3"/>
    </row>
    <row r="11" ht="50.4" customHeight="1" spans="1:7">
      <c r="A11" s="178">
        <v>7</v>
      </c>
      <c r="B11" s="179" t="s">
        <v>328</v>
      </c>
      <c r="C11" s="180">
        <v>0.1</v>
      </c>
      <c r="D11" s="175" t="e">
        <f>D8*C11</f>
        <v>#REF!</v>
      </c>
      <c r="E11" s="176" t="e">
        <f t="shared" si="0"/>
        <v>#REF!</v>
      </c>
      <c r="F11" s="181"/>
      <c r="G11" s="3"/>
    </row>
    <row r="12" ht="19.5" customHeight="1" spans="1:10">
      <c r="A12" s="182" t="s">
        <v>329</v>
      </c>
      <c r="B12" s="183"/>
      <c r="C12" s="184" t="e">
        <f>(D8+D9+D11)/(1-C10)</f>
        <v>#REF!</v>
      </c>
      <c r="D12" s="185"/>
      <c r="E12" s="186"/>
      <c r="F12" s="181"/>
      <c r="G12" s="3"/>
      <c r="H12" s="3"/>
      <c r="I12" s="3"/>
      <c r="J12" s="3"/>
    </row>
    <row r="13" ht="16.5" spans="1:10">
      <c r="A13" s="182" t="s">
        <v>330</v>
      </c>
      <c r="B13" s="183"/>
      <c r="C13" s="187">
        <f>VLOOKUP(B1,I26:J32,2,0)</f>
        <v>1660</v>
      </c>
      <c r="D13" s="188"/>
      <c r="E13" s="189"/>
      <c r="F13" s="190"/>
      <c r="G13" s="3"/>
      <c r="H13" s="3"/>
      <c r="I13" s="3"/>
      <c r="J13" s="3"/>
    </row>
    <row r="14" ht="17.25" spans="1:10">
      <c r="A14" s="182" t="s">
        <v>331</v>
      </c>
      <c r="B14" s="183"/>
      <c r="C14" s="187" t="e">
        <f>C12*C13</f>
        <v>#REF!</v>
      </c>
      <c r="D14" s="188"/>
      <c r="E14" s="189"/>
      <c r="F14" s="191"/>
      <c r="G14" s="3"/>
      <c r="H14" s="3"/>
      <c r="I14" s="3"/>
      <c r="J14" s="3"/>
    </row>
    <row r="15" spans="6:10">
      <c r="F15" s="3"/>
      <c r="G15" s="3"/>
      <c r="H15" s="3"/>
      <c r="I15" s="3"/>
      <c r="J15" s="3"/>
    </row>
    <row r="16" spans="4:10">
      <c r="D16" s="54"/>
      <c r="F16" s="3"/>
      <c r="G16" s="3"/>
      <c r="H16" s="3"/>
      <c r="I16" s="3"/>
      <c r="J16" s="3"/>
    </row>
    <row r="17" ht="13" spans="2:10">
      <c r="B17" s="55" t="s">
        <v>23</v>
      </c>
      <c r="F17" s="3"/>
      <c r="G17" s="3"/>
      <c r="H17" s="3"/>
      <c r="I17" s="3"/>
      <c r="J17" s="3"/>
    </row>
    <row r="18" spans="2:10">
      <c r="B18" s="192" t="s">
        <v>24</v>
      </c>
      <c r="C18" s="193"/>
      <c r="D18" s="194" t="s">
        <v>25</v>
      </c>
      <c r="F18" s="3"/>
      <c r="G18" s="3"/>
      <c r="H18" s="3"/>
      <c r="I18" s="3"/>
      <c r="J18" s="3"/>
    </row>
    <row r="19" spans="2:10">
      <c r="B19" s="195" t="s">
        <v>26</v>
      </c>
      <c r="C19" s="196"/>
      <c r="D19" s="197">
        <v>0.06</v>
      </c>
      <c r="F19" s="3"/>
      <c r="G19" s="3"/>
      <c r="H19" s="3"/>
      <c r="I19" s="3"/>
      <c r="J19" s="3"/>
    </row>
    <row r="20" spans="2:10">
      <c r="B20" s="195" t="s">
        <v>27</v>
      </c>
      <c r="C20" s="196"/>
      <c r="D20" s="197">
        <v>0.08</v>
      </c>
      <c r="F20" s="3"/>
      <c r="G20" s="3"/>
      <c r="H20" s="3"/>
      <c r="I20" s="3"/>
      <c r="J20" s="3"/>
    </row>
    <row r="21" spans="2:10">
      <c r="B21" s="195" t="s">
        <v>28</v>
      </c>
      <c r="C21" s="196"/>
      <c r="D21" s="197">
        <v>0.12</v>
      </c>
      <c r="F21" s="3"/>
      <c r="G21" s="3"/>
      <c r="H21" s="3"/>
      <c r="I21" s="3"/>
      <c r="J21" s="3"/>
    </row>
    <row r="22" spans="2:10">
      <c r="B22" s="195" t="s">
        <v>32</v>
      </c>
      <c r="C22" s="196"/>
      <c r="D22" s="197">
        <v>0.1</v>
      </c>
      <c r="F22" s="3"/>
      <c r="G22" s="3"/>
      <c r="H22" s="3"/>
      <c r="I22" s="3"/>
      <c r="J22" s="3"/>
    </row>
    <row r="23" spans="2:10">
      <c r="B23" s="195" t="s">
        <v>33</v>
      </c>
      <c r="C23" s="196"/>
      <c r="D23" s="197">
        <v>0.1</v>
      </c>
      <c r="F23" s="3"/>
      <c r="G23" s="3"/>
      <c r="H23" s="3"/>
      <c r="I23" s="3"/>
      <c r="J23" s="3"/>
    </row>
    <row r="24" spans="2:10">
      <c r="B24" s="195" t="s">
        <v>35</v>
      </c>
      <c r="C24" s="196"/>
      <c r="D24" s="197">
        <v>0.1</v>
      </c>
      <c r="F24" s="3"/>
      <c r="G24" s="3"/>
      <c r="H24" s="3"/>
      <c r="I24" s="3"/>
      <c r="J24" s="3"/>
    </row>
    <row r="25" spans="2:10">
      <c r="B25" s="195" t="s">
        <v>37</v>
      </c>
      <c r="C25" s="196"/>
      <c r="D25" s="197">
        <v>0.1</v>
      </c>
      <c r="F25" s="3"/>
      <c r="G25" s="3"/>
      <c r="H25" s="3"/>
      <c r="I25" s="204" t="s">
        <v>0</v>
      </c>
      <c r="J25" s="205" t="s">
        <v>332</v>
      </c>
    </row>
    <row r="26" spans="2:10">
      <c r="B26" s="195" t="s">
        <v>38</v>
      </c>
      <c r="C26" s="196"/>
      <c r="D26" s="197">
        <v>0.15</v>
      </c>
      <c r="F26" s="3"/>
      <c r="G26" s="3"/>
      <c r="H26" s="3"/>
      <c r="I26" s="200" t="s">
        <v>308</v>
      </c>
      <c r="J26" s="206">
        <v>1660</v>
      </c>
    </row>
    <row r="27" spans="2:10">
      <c r="B27" s="195" t="s">
        <v>39</v>
      </c>
      <c r="C27" s="196"/>
      <c r="D27" s="197">
        <v>0.15</v>
      </c>
      <c r="F27" s="3"/>
      <c r="G27" s="3"/>
      <c r="H27" s="3"/>
      <c r="I27" s="200" t="s">
        <v>333</v>
      </c>
      <c r="J27" s="206">
        <v>133.7</v>
      </c>
    </row>
    <row r="28" spans="2:10">
      <c r="B28" s="195" t="s">
        <v>42</v>
      </c>
      <c r="C28" s="196"/>
      <c r="D28" s="197">
        <v>0.15</v>
      </c>
      <c r="F28" s="3"/>
      <c r="G28" s="3"/>
      <c r="H28" s="3"/>
      <c r="I28" s="207" t="s">
        <v>334</v>
      </c>
      <c r="J28" s="208">
        <v>737.77</v>
      </c>
    </row>
    <row r="29" spans="2:10">
      <c r="B29" s="195" t="s">
        <v>43</v>
      </c>
      <c r="C29" s="196"/>
      <c r="D29" s="197">
        <v>0.15</v>
      </c>
      <c r="F29" s="3"/>
      <c r="G29" s="3"/>
      <c r="H29" s="3"/>
      <c r="I29" s="200" t="s">
        <v>335</v>
      </c>
      <c r="J29" s="206">
        <v>15.18</v>
      </c>
    </row>
    <row r="30" spans="2:10">
      <c r="B30" s="195" t="s">
        <v>45</v>
      </c>
      <c r="C30" s="196"/>
      <c r="D30" s="197">
        <v>0.15</v>
      </c>
      <c r="F30" s="3"/>
      <c r="G30" s="3"/>
      <c r="H30" s="3"/>
      <c r="I30" s="200" t="s">
        <v>336</v>
      </c>
      <c r="J30" s="206">
        <v>737.77</v>
      </c>
    </row>
    <row r="31" ht="12.5" spans="2:10">
      <c r="B31" s="195" t="s">
        <v>47</v>
      </c>
      <c r="C31" s="196"/>
      <c r="D31" s="197">
        <v>0.17</v>
      </c>
      <c r="F31" s="3"/>
      <c r="G31" s="3"/>
      <c r="H31" s="3"/>
      <c r="I31" s="209" t="s">
        <v>337</v>
      </c>
      <c r="J31" s="206">
        <v>3865.7</v>
      </c>
    </row>
    <row r="32" ht="12.5" spans="2:10">
      <c r="B32" s="195" t="s">
        <v>5</v>
      </c>
      <c r="C32" s="196"/>
      <c r="D32" s="197">
        <v>0.2</v>
      </c>
      <c r="F32" s="3"/>
      <c r="G32" s="3"/>
      <c r="H32" s="3"/>
      <c r="I32" s="210"/>
      <c r="J32" s="210"/>
    </row>
    <row r="33" ht="12.5" spans="2:10">
      <c r="B33" s="195" t="s">
        <v>50</v>
      </c>
      <c r="C33" s="196"/>
      <c r="D33" s="197">
        <v>0.17</v>
      </c>
      <c r="F33" s="3"/>
      <c r="G33" s="3"/>
      <c r="H33" s="3"/>
      <c r="I33" s="3"/>
      <c r="J33" s="3"/>
    </row>
    <row r="34" spans="2:10">
      <c r="B34" s="195" t="s">
        <v>52</v>
      </c>
      <c r="C34" s="196"/>
      <c r="D34" s="197">
        <v>0.2</v>
      </c>
      <c r="F34" s="3"/>
      <c r="G34" s="3"/>
      <c r="H34" s="3"/>
      <c r="I34" s="3"/>
      <c r="J34" s="3"/>
    </row>
    <row r="35" spans="2:10">
      <c r="B35" s="195" t="s">
        <v>54</v>
      </c>
      <c r="C35" s="196"/>
      <c r="D35" s="197">
        <v>0.2</v>
      </c>
      <c r="F35" s="3"/>
      <c r="G35" s="3"/>
      <c r="H35" s="3"/>
      <c r="I35" s="3"/>
      <c r="J35" s="3"/>
    </row>
    <row r="36" spans="2:10">
      <c r="B36" s="195" t="s">
        <v>56</v>
      </c>
      <c r="C36" s="196"/>
      <c r="D36" s="197">
        <v>0.2</v>
      </c>
      <c r="F36" s="3"/>
      <c r="G36" s="3"/>
      <c r="H36" s="3"/>
      <c r="I36" s="3"/>
      <c r="J36" s="3"/>
    </row>
    <row r="37" spans="2:8">
      <c r="B37" s="195" t="s">
        <v>57</v>
      </c>
      <c r="C37" s="196"/>
      <c r="D37" s="197">
        <v>0.2</v>
      </c>
      <c r="F37" s="3"/>
      <c r="G37" s="3"/>
      <c r="H37" s="198" t="s">
        <v>338</v>
      </c>
    </row>
    <row r="38" spans="6:16">
      <c r="F38" s="199" t="s">
        <v>339</v>
      </c>
      <c r="G38" s="199" t="s">
        <v>251</v>
      </c>
      <c r="H38" s="200" t="s">
        <v>308</v>
      </c>
      <c r="I38" s="200" t="s">
        <v>334</v>
      </c>
      <c r="J38" s="200" t="s">
        <v>333</v>
      </c>
      <c r="K38" s="200" t="s">
        <v>336</v>
      </c>
      <c r="L38" s="200" t="s">
        <v>337</v>
      </c>
      <c r="M38" s="200" t="s">
        <v>335</v>
      </c>
      <c r="N38" s="199" t="s">
        <v>340</v>
      </c>
      <c r="O38" s="192" t="s">
        <v>24</v>
      </c>
      <c r="P38" s="52" t="s">
        <v>341</v>
      </c>
    </row>
    <row r="39" spans="6:18">
      <c r="F39" s="201" t="s">
        <v>342</v>
      </c>
      <c r="G39" s="199" t="s">
        <v>261</v>
      </c>
      <c r="H39" s="202">
        <v>0.007088</v>
      </c>
      <c r="I39" s="202">
        <v>0.007088</v>
      </c>
      <c r="J39" s="202">
        <v>0.005063</v>
      </c>
      <c r="K39" s="202">
        <v>0.005063</v>
      </c>
      <c r="L39" s="202">
        <v>0.005063</v>
      </c>
      <c r="M39" s="202">
        <v>0.005063</v>
      </c>
      <c r="N39" s="211">
        <v>0.2</v>
      </c>
      <c r="O39" s="195" t="s">
        <v>50</v>
      </c>
      <c r="P39" s="53">
        <f t="shared" ref="P39:P85" si="1">VLOOKUP(O39,$B$18:$D$37,3,FALSE)</f>
        <v>0.17</v>
      </c>
      <c r="R39" s="3"/>
    </row>
    <row r="40" spans="6:18">
      <c r="F40" s="201" t="s">
        <v>311</v>
      </c>
      <c r="G40" s="199" t="s">
        <v>264</v>
      </c>
      <c r="H40" s="202">
        <v>0.007088</v>
      </c>
      <c r="I40" s="202">
        <v>0.007088</v>
      </c>
      <c r="J40" s="202">
        <v>0.005063</v>
      </c>
      <c r="K40" s="202">
        <v>0.005063</v>
      </c>
      <c r="L40" s="202">
        <v>0.005063</v>
      </c>
      <c r="M40" s="202">
        <v>0.005063</v>
      </c>
      <c r="N40" s="211">
        <v>0.2</v>
      </c>
      <c r="O40" s="195" t="s">
        <v>50</v>
      </c>
      <c r="P40" s="53">
        <f t="shared" si="1"/>
        <v>0.17</v>
      </c>
      <c r="Q40" s="3"/>
      <c r="R40" s="3"/>
    </row>
    <row r="41" spans="6:18">
      <c r="F41" s="201" t="s">
        <v>343</v>
      </c>
      <c r="G41" s="199" t="s">
        <v>267</v>
      </c>
      <c r="H41" s="202">
        <v>0.007088</v>
      </c>
      <c r="I41" s="202">
        <v>0.007088</v>
      </c>
      <c r="J41" s="202">
        <v>0.005063</v>
      </c>
      <c r="K41" s="202">
        <v>0.005063</v>
      </c>
      <c r="L41" s="202">
        <v>0.005063</v>
      </c>
      <c r="M41" s="202">
        <v>0.005063</v>
      </c>
      <c r="N41" s="211">
        <v>0.2</v>
      </c>
      <c r="O41" s="195" t="s">
        <v>50</v>
      </c>
      <c r="P41" s="53">
        <f t="shared" si="1"/>
        <v>0.17</v>
      </c>
      <c r="Q41" s="3"/>
      <c r="R41" s="62"/>
    </row>
    <row r="42" spans="6:17">
      <c r="F42" s="201" t="s">
        <v>344</v>
      </c>
      <c r="G42" s="199" t="s">
        <v>345</v>
      </c>
      <c r="H42" s="202">
        <v>0.007088</v>
      </c>
      <c r="I42" s="202">
        <v>0.007088</v>
      </c>
      <c r="J42" s="202">
        <v>0.005063</v>
      </c>
      <c r="K42" s="202">
        <v>0.005063</v>
      </c>
      <c r="L42" s="202">
        <v>0.005063</v>
      </c>
      <c r="M42" s="202">
        <v>0.005063</v>
      </c>
      <c r="N42" s="212">
        <v>0.2</v>
      </c>
      <c r="O42" s="213" t="s">
        <v>50</v>
      </c>
      <c r="P42" s="53">
        <f t="shared" si="1"/>
        <v>0.17</v>
      </c>
      <c r="Q42" s="62"/>
    </row>
    <row r="43" spans="6:16">
      <c r="F43" s="201" t="s">
        <v>346</v>
      </c>
      <c r="G43" s="199" t="s">
        <v>347</v>
      </c>
      <c r="H43" s="202">
        <v>0.007088</v>
      </c>
      <c r="I43" s="202">
        <v>0.007088</v>
      </c>
      <c r="J43" s="202">
        <v>0.005063</v>
      </c>
      <c r="K43" s="202">
        <v>0.005063</v>
      </c>
      <c r="L43" s="202">
        <v>0.005063</v>
      </c>
      <c r="M43" s="202">
        <v>0.005063</v>
      </c>
      <c r="N43" s="211">
        <v>0.2</v>
      </c>
      <c r="O43" s="195" t="s">
        <v>50</v>
      </c>
      <c r="P43" s="53">
        <f t="shared" si="1"/>
        <v>0.17</v>
      </c>
    </row>
    <row r="44" spans="6:16">
      <c r="F44" s="201" t="s">
        <v>348</v>
      </c>
      <c r="G44" s="199" t="s">
        <v>349</v>
      </c>
      <c r="H44" s="202">
        <v>0.007088</v>
      </c>
      <c r="I44" s="202">
        <v>0.007088</v>
      </c>
      <c r="J44" s="202">
        <v>0.005063</v>
      </c>
      <c r="K44" s="202">
        <v>0.005063</v>
      </c>
      <c r="L44" s="202">
        <v>0.005063</v>
      </c>
      <c r="M44" s="202">
        <v>0.005063</v>
      </c>
      <c r="N44" s="211">
        <v>0.2</v>
      </c>
      <c r="O44" s="195" t="s">
        <v>50</v>
      </c>
      <c r="P44" s="53">
        <f t="shared" si="1"/>
        <v>0.17</v>
      </c>
    </row>
    <row r="45" spans="6:16">
      <c r="F45" s="201" t="s">
        <v>350</v>
      </c>
      <c r="G45" s="199" t="s">
        <v>351</v>
      </c>
      <c r="H45" s="202">
        <v>0.007088</v>
      </c>
      <c r="I45" s="202">
        <v>0.007088</v>
      </c>
      <c r="J45" s="202">
        <v>0.005063</v>
      </c>
      <c r="K45" s="202">
        <v>0.005063</v>
      </c>
      <c r="L45" s="202">
        <v>0.005063</v>
      </c>
      <c r="M45" s="202">
        <v>0.005063</v>
      </c>
      <c r="N45" s="211">
        <v>0.2</v>
      </c>
      <c r="O45" s="195" t="s">
        <v>50</v>
      </c>
      <c r="P45" s="53">
        <f t="shared" si="1"/>
        <v>0.17</v>
      </c>
    </row>
    <row r="46" spans="6:16">
      <c r="F46" s="201" t="s">
        <v>352</v>
      </c>
      <c r="G46" s="199" t="s">
        <v>353</v>
      </c>
      <c r="H46" s="202">
        <v>0.007088</v>
      </c>
      <c r="I46" s="202">
        <v>0.007088</v>
      </c>
      <c r="J46" s="202">
        <v>0.005063</v>
      </c>
      <c r="K46" s="202">
        <v>0.005063</v>
      </c>
      <c r="L46" s="202">
        <v>0.005063</v>
      </c>
      <c r="M46" s="202">
        <v>0.005063</v>
      </c>
      <c r="N46" s="211">
        <v>0.2</v>
      </c>
      <c r="O46" s="195" t="s">
        <v>50</v>
      </c>
      <c r="P46" s="53">
        <f t="shared" si="1"/>
        <v>0.17</v>
      </c>
    </row>
    <row r="47" spans="6:16">
      <c r="F47" s="201" t="s">
        <v>354</v>
      </c>
      <c r="G47" s="199" t="s">
        <v>355</v>
      </c>
      <c r="H47" s="202">
        <v>0.007088</v>
      </c>
      <c r="I47" s="202">
        <v>0.007088</v>
      </c>
      <c r="J47" s="202">
        <v>0.005063</v>
      </c>
      <c r="K47" s="202">
        <v>0.005063</v>
      </c>
      <c r="L47" s="202">
        <v>0.005063</v>
      </c>
      <c r="M47" s="202">
        <v>0.005063</v>
      </c>
      <c r="N47" s="211">
        <v>0.2</v>
      </c>
      <c r="O47" s="195" t="s">
        <v>50</v>
      </c>
      <c r="P47" s="53">
        <f t="shared" si="1"/>
        <v>0.17</v>
      </c>
    </row>
    <row r="48" spans="6:16">
      <c r="F48" s="203" t="s">
        <v>356</v>
      </c>
      <c r="G48" s="199" t="s">
        <v>357</v>
      </c>
      <c r="H48" s="202">
        <v>0.007088</v>
      </c>
      <c r="I48" s="202">
        <v>0.007088</v>
      </c>
      <c r="J48" s="202">
        <v>0.005063</v>
      </c>
      <c r="K48" s="202">
        <v>0.005063</v>
      </c>
      <c r="L48" s="202">
        <v>0.005063</v>
      </c>
      <c r="M48" s="202">
        <v>0.005063</v>
      </c>
      <c r="N48" s="211">
        <v>0.2</v>
      </c>
      <c r="O48" s="195" t="s">
        <v>50</v>
      </c>
      <c r="P48" s="53">
        <f t="shared" si="1"/>
        <v>0.17</v>
      </c>
    </row>
    <row r="49" spans="6:16">
      <c r="F49" s="203" t="s">
        <v>358</v>
      </c>
      <c r="G49" s="199" t="s">
        <v>359</v>
      </c>
      <c r="H49" s="202">
        <v>0.002025</v>
      </c>
      <c r="I49" s="202">
        <v>0.002025</v>
      </c>
      <c r="J49" s="202">
        <v>0.002025</v>
      </c>
      <c r="K49" s="202">
        <v>0.002025</v>
      </c>
      <c r="L49" s="202">
        <v>0.002025</v>
      </c>
      <c r="M49" s="202">
        <v>0.002025</v>
      </c>
      <c r="N49" s="211">
        <v>0.2</v>
      </c>
      <c r="O49" s="213" t="s">
        <v>50</v>
      </c>
      <c r="P49" s="53">
        <f t="shared" si="1"/>
        <v>0.17</v>
      </c>
    </row>
    <row r="50" spans="6:16">
      <c r="F50" s="203" t="s">
        <v>360</v>
      </c>
      <c r="G50" s="199" t="s">
        <v>361</v>
      </c>
      <c r="H50" s="202">
        <v>0.002025</v>
      </c>
      <c r="I50" s="202">
        <v>0.002025</v>
      </c>
      <c r="J50" s="202">
        <v>0.002025</v>
      </c>
      <c r="K50" s="202">
        <v>0.002025</v>
      </c>
      <c r="L50" s="202">
        <v>0.002025</v>
      </c>
      <c r="M50" s="202">
        <v>0.002025</v>
      </c>
      <c r="N50" s="211">
        <v>0.2</v>
      </c>
      <c r="O50" s="195" t="s">
        <v>50</v>
      </c>
      <c r="P50" s="53">
        <f t="shared" si="1"/>
        <v>0.17</v>
      </c>
    </row>
    <row r="51" spans="6:16">
      <c r="F51" s="203" t="s">
        <v>362</v>
      </c>
      <c r="G51" s="199" t="s">
        <v>363</v>
      </c>
      <c r="H51" s="202">
        <v>0.007088</v>
      </c>
      <c r="I51" s="202">
        <v>0.007088</v>
      </c>
      <c r="J51" s="202">
        <v>0.005063</v>
      </c>
      <c r="K51" s="202">
        <v>0.005063</v>
      </c>
      <c r="L51" s="202">
        <v>0.005063</v>
      </c>
      <c r="M51" s="202">
        <v>0.005063</v>
      </c>
      <c r="N51" s="211">
        <v>0.2</v>
      </c>
      <c r="O51" s="195" t="s">
        <v>50</v>
      </c>
      <c r="P51" s="53">
        <f t="shared" si="1"/>
        <v>0.17</v>
      </c>
    </row>
    <row r="52" spans="6:16">
      <c r="F52" s="203" t="s">
        <v>364</v>
      </c>
      <c r="G52" s="199" t="s">
        <v>365</v>
      </c>
      <c r="H52" s="202">
        <v>0.007088</v>
      </c>
      <c r="I52" s="202">
        <v>0.007088</v>
      </c>
      <c r="J52" s="202">
        <v>0.005063</v>
      </c>
      <c r="K52" s="202">
        <v>0.005063</v>
      </c>
      <c r="L52" s="202">
        <v>0.005063</v>
      </c>
      <c r="M52" s="202">
        <v>0.005063</v>
      </c>
      <c r="N52" s="211">
        <v>0.2</v>
      </c>
      <c r="O52" s="195" t="s">
        <v>50</v>
      </c>
      <c r="P52" s="53">
        <f t="shared" si="1"/>
        <v>0.17</v>
      </c>
    </row>
    <row r="53" spans="6:16">
      <c r="F53" s="203" t="s">
        <v>366</v>
      </c>
      <c r="G53" s="199" t="s">
        <v>367</v>
      </c>
      <c r="H53" s="202">
        <v>0.007088</v>
      </c>
      <c r="I53" s="202">
        <v>0.007088</v>
      </c>
      <c r="J53" s="202">
        <v>0.005063</v>
      </c>
      <c r="K53" s="202">
        <v>0.005063</v>
      </c>
      <c r="L53" s="202">
        <v>0.005063</v>
      </c>
      <c r="M53" s="202">
        <v>0.005063</v>
      </c>
      <c r="N53" s="211">
        <v>0.2</v>
      </c>
      <c r="O53" s="195" t="s">
        <v>50</v>
      </c>
      <c r="P53" s="53">
        <f t="shared" si="1"/>
        <v>0.17</v>
      </c>
    </row>
    <row r="54" spans="6:16">
      <c r="F54" s="203" t="s">
        <v>368</v>
      </c>
      <c r="G54" s="199" t="s">
        <v>369</v>
      </c>
      <c r="H54" s="202">
        <v>0.002025</v>
      </c>
      <c r="I54" s="202">
        <v>0.002025</v>
      </c>
      <c r="J54" s="202">
        <v>0.002025</v>
      </c>
      <c r="K54" s="202">
        <v>0.002025</v>
      </c>
      <c r="L54" s="202">
        <v>0.002025</v>
      </c>
      <c r="M54" s="202">
        <v>0.002025</v>
      </c>
      <c r="N54" s="211">
        <v>0.2</v>
      </c>
      <c r="O54" s="195" t="s">
        <v>50</v>
      </c>
      <c r="P54" s="53">
        <f t="shared" si="1"/>
        <v>0.17</v>
      </c>
    </row>
    <row r="55" spans="6:16">
      <c r="F55" s="203" t="s">
        <v>370</v>
      </c>
      <c r="G55" s="199" t="s">
        <v>371</v>
      </c>
      <c r="H55" s="202">
        <v>0.002025</v>
      </c>
      <c r="I55" s="202">
        <v>0.002025</v>
      </c>
      <c r="J55" s="202">
        <v>0.002025</v>
      </c>
      <c r="K55" s="202">
        <v>0.002025</v>
      </c>
      <c r="L55" s="202">
        <v>0.002025</v>
      </c>
      <c r="M55" s="202">
        <v>0.002025</v>
      </c>
      <c r="N55" s="211">
        <v>0.2</v>
      </c>
      <c r="O55" s="213" t="s">
        <v>50</v>
      </c>
      <c r="P55" s="53">
        <f t="shared" si="1"/>
        <v>0.17</v>
      </c>
    </row>
    <row r="56" spans="6:16">
      <c r="F56" s="203" t="s">
        <v>372</v>
      </c>
      <c r="G56" s="199" t="s">
        <v>373</v>
      </c>
      <c r="H56" s="202">
        <v>0.002025</v>
      </c>
      <c r="I56" s="202">
        <v>0.002025</v>
      </c>
      <c r="J56" s="202">
        <v>0.002025</v>
      </c>
      <c r="K56" s="202">
        <v>0.002025</v>
      </c>
      <c r="L56" s="202">
        <v>0.002025</v>
      </c>
      <c r="M56" s="202">
        <v>0.002025</v>
      </c>
      <c r="N56" s="211">
        <v>0.2</v>
      </c>
      <c r="O56" s="195" t="s">
        <v>50</v>
      </c>
      <c r="P56" s="53">
        <f t="shared" si="1"/>
        <v>0.17</v>
      </c>
    </row>
    <row r="57" spans="6:16">
      <c r="F57" s="203" t="s">
        <v>374</v>
      </c>
      <c r="G57" s="199" t="s">
        <v>375</v>
      </c>
      <c r="H57" s="202">
        <v>0.007088</v>
      </c>
      <c r="I57" s="202">
        <v>0.007088</v>
      </c>
      <c r="J57" s="202">
        <v>0.005063</v>
      </c>
      <c r="K57" s="202">
        <v>0.005063</v>
      </c>
      <c r="L57" s="202">
        <v>0.005063</v>
      </c>
      <c r="M57" s="202">
        <v>0.005063</v>
      </c>
      <c r="N57" s="211">
        <v>0.2</v>
      </c>
      <c r="O57" s="195" t="s">
        <v>50</v>
      </c>
      <c r="P57" s="53">
        <f t="shared" si="1"/>
        <v>0.17</v>
      </c>
    </row>
    <row r="58" spans="6:16">
      <c r="F58" s="203" t="s">
        <v>376</v>
      </c>
      <c r="G58" s="199" t="s">
        <v>377</v>
      </c>
      <c r="H58" s="202">
        <v>0.007088</v>
      </c>
      <c r="I58" s="202">
        <v>0.007088</v>
      </c>
      <c r="J58" s="202">
        <v>0.005063</v>
      </c>
      <c r="K58" s="202">
        <v>0.005063</v>
      </c>
      <c r="L58" s="202">
        <v>0.005063</v>
      </c>
      <c r="M58" s="202">
        <v>0.005063</v>
      </c>
      <c r="N58" s="211">
        <v>0.2</v>
      </c>
      <c r="O58" s="195" t="s">
        <v>50</v>
      </c>
      <c r="P58" s="53">
        <f t="shared" si="1"/>
        <v>0.17</v>
      </c>
    </row>
    <row r="59" spans="6:16">
      <c r="F59" s="203" t="s">
        <v>378</v>
      </c>
      <c r="G59" s="199" t="s">
        <v>379</v>
      </c>
      <c r="H59" s="202">
        <v>0.007088</v>
      </c>
      <c r="I59" s="202">
        <v>0.007088</v>
      </c>
      <c r="J59" s="202">
        <v>0.005063</v>
      </c>
      <c r="K59" s="202">
        <v>0.005063</v>
      </c>
      <c r="L59" s="202">
        <v>0.005063</v>
      </c>
      <c r="M59" s="202">
        <v>0.005063</v>
      </c>
      <c r="N59" s="211">
        <v>0.2</v>
      </c>
      <c r="O59" s="195" t="s">
        <v>50</v>
      </c>
      <c r="P59" s="53">
        <f t="shared" si="1"/>
        <v>0.17</v>
      </c>
    </row>
    <row r="60" spans="6:16">
      <c r="F60" s="203" t="s">
        <v>380</v>
      </c>
      <c r="G60" s="199" t="s">
        <v>381</v>
      </c>
      <c r="H60" s="202">
        <v>0.007088</v>
      </c>
      <c r="I60" s="202">
        <v>0.007088</v>
      </c>
      <c r="J60" s="202">
        <v>0.005063</v>
      </c>
      <c r="K60" s="202">
        <v>0.005063</v>
      </c>
      <c r="L60" s="202">
        <v>0.005063</v>
      </c>
      <c r="M60" s="202">
        <v>0.005063</v>
      </c>
      <c r="N60" s="211">
        <v>0.2</v>
      </c>
      <c r="O60" s="195" t="s">
        <v>50</v>
      </c>
      <c r="P60" s="53">
        <f t="shared" si="1"/>
        <v>0.17</v>
      </c>
    </row>
    <row r="61" spans="6:16">
      <c r="F61" s="203" t="s">
        <v>382</v>
      </c>
      <c r="G61" s="199" t="s">
        <v>383</v>
      </c>
      <c r="H61" s="202">
        <v>0.007088</v>
      </c>
      <c r="I61" s="202">
        <v>0.007088</v>
      </c>
      <c r="J61" s="202">
        <v>0.005063</v>
      </c>
      <c r="K61" s="202">
        <v>0.005063</v>
      </c>
      <c r="L61" s="202">
        <v>0.005063</v>
      </c>
      <c r="M61" s="202">
        <v>0.005063</v>
      </c>
      <c r="N61" s="211">
        <v>0.4</v>
      </c>
      <c r="O61" s="195" t="s">
        <v>38</v>
      </c>
      <c r="P61" s="53">
        <f t="shared" si="1"/>
        <v>0.15</v>
      </c>
    </row>
    <row r="62" spans="6:16">
      <c r="F62" s="203" t="s">
        <v>384</v>
      </c>
      <c r="G62" s="199" t="s">
        <v>385</v>
      </c>
      <c r="H62" s="202">
        <v>0.007088</v>
      </c>
      <c r="I62" s="202">
        <v>0.007088</v>
      </c>
      <c r="J62" s="202">
        <v>0.005063</v>
      </c>
      <c r="K62" s="202">
        <v>0.005063</v>
      </c>
      <c r="L62" s="202">
        <v>0.005063</v>
      </c>
      <c r="M62" s="202">
        <v>0.005063</v>
      </c>
      <c r="N62" s="211">
        <v>0.4</v>
      </c>
      <c r="O62" s="195" t="s">
        <v>38</v>
      </c>
      <c r="P62" s="53">
        <f t="shared" si="1"/>
        <v>0.15</v>
      </c>
    </row>
    <row r="63" spans="6:16">
      <c r="F63" s="203" t="s">
        <v>386</v>
      </c>
      <c r="G63" s="199" t="s">
        <v>387</v>
      </c>
      <c r="H63" s="202">
        <v>0.002025</v>
      </c>
      <c r="I63" s="202">
        <v>0.002025</v>
      </c>
      <c r="J63" s="202">
        <v>0.002025</v>
      </c>
      <c r="K63" s="202">
        <v>0.002025</v>
      </c>
      <c r="L63" s="202">
        <v>0.002025</v>
      </c>
      <c r="M63" s="202">
        <v>0.002025</v>
      </c>
      <c r="N63" s="211">
        <v>0.4</v>
      </c>
      <c r="O63" s="195" t="s">
        <v>39</v>
      </c>
      <c r="P63" s="53">
        <f t="shared" si="1"/>
        <v>0.15</v>
      </c>
    </row>
    <row r="64" spans="6:16">
      <c r="F64" s="203" t="s">
        <v>388</v>
      </c>
      <c r="G64" s="199" t="s">
        <v>389</v>
      </c>
      <c r="H64" s="202">
        <v>0.002025</v>
      </c>
      <c r="I64" s="202">
        <v>0.002025</v>
      </c>
      <c r="J64" s="202">
        <v>0.002025</v>
      </c>
      <c r="K64" s="202">
        <v>0.002025</v>
      </c>
      <c r="L64" s="202">
        <v>0.002025</v>
      </c>
      <c r="M64" s="202">
        <v>0.002025</v>
      </c>
      <c r="N64" s="211">
        <v>0.4</v>
      </c>
      <c r="O64" s="195" t="s">
        <v>39</v>
      </c>
      <c r="P64" s="53">
        <f t="shared" si="1"/>
        <v>0.15</v>
      </c>
    </row>
    <row r="65" spans="6:16">
      <c r="F65" s="203" t="s">
        <v>390</v>
      </c>
      <c r="G65" s="199" t="s">
        <v>391</v>
      </c>
      <c r="H65" s="202">
        <v>0.002025</v>
      </c>
      <c r="I65" s="202">
        <v>0.002025</v>
      </c>
      <c r="J65" s="202">
        <v>0.002025</v>
      </c>
      <c r="K65" s="202">
        <v>0.002025</v>
      </c>
      <c r="L65" s="202">
        <v>0.002025</v>
      </c>
      <c r="M65" s="202">
        <v>0.002025</v>
      </c>
      <c r="N65" s="211">
        <v>0.4</v>
      </c>
      <c r="O65" s="195" t="s">
        <v>38</v>
      </c>
      <c r="P65" s="53">
        <f t="shared" si="1"/>
        <v>0.15</v>
      </c>
    </row>
    <row r="66" spans="6:16">
      <c r="F66" s="203" t="s">
        <v>392</v>
      </c>
      <c r="G66" s="199" t="s">
        <v>393</v>
      </c>
      <c r="H66" s="202">
        <v>0.002025</v>
      </c>
      <c r="I66" s="202">
        <v>0.002025</v>
      </c>
      <c r="J66" s="202">
        <v>0.002025</v>
      </c>
      <c r="K66" s="202">
        <v>0.002025</v>
      </c>
      <c r="L66" s="202">
        <v>0.002025</v>
      </c>
      <c r="M66" s="202">
        <v>0.002025</v>
      </c>
      <c r="N66" s="211">
        <v>0.4</v>
      </c>
      <c r="O66" s="195" t="s">
        <v>38</v>
      </c>
      <c r="P66" s="53">
        <f t="shared" si="1"/>
        <v>0.15</v>
      </c>
    </row>
    <row r="67" spans="6:16">
      <c r="F67" s="203" t="s">
        <v>394</v>
      </c>
      <c r="G67" s="199" t="s">
        <v>395</v>
      </c>
      <c r="H67" s="202">
        <v>0.007088</v>
      </c>
      <c r="I67" s="202">
        <v>0.007088</v>
      </c>
      <c r="J67" s="202">
        <v>0.005063</v>
      </c>
      <c r="K67" s="202">
        <v>0.005063</v>
      </c>
      <c r="L67" s="202">
        <v>0.005063</v>
      </c>
      <c r="M67" s="202">
        <v>0.005063</v>
      </c>
      <c r="N67" s="211">
        <v>0.4</v>
      </c>
      <c r="O67" s="195" t="s">
        <v>38</v>
      </c>
      <c r="P67" s="53">
        <f t="shared" si="1"/>
        <v>0.15</v>
      </c>
    </row>
    <row r="68" spans="6:26">
      <c r="F68" s="203" t="s">
        <v>396</v>
      </c>
      <c r="G68" s="199" t="s">
        <v>397</v>
      </c>
      <c r="H68" s="202">
        <v>0.002025</v>
      </c>
      <c r="I68" s="202">
        <v>0.002025</v>
      </c>
      <c r="J68" s="202">
        <v>0.002025</v>
      </c>
      <c r="K68" s="202">
        <v>0.002025</v>
      </c>
      <c r="L68" s="202">
        <v>0.002025</v>
      </c>
      <c r="M68" s="202">
        <v>0.002025</v>
      </c>
      <c r="N68" s="211">
        <v>0.4</v>
      </c>
      <c r="O68" s="195" t="s">
        <v>38</v>
      </c>
      <c r="P68" s="53">
        <f t="shared" si="1"/>
        <v>0.15</v>
      </c>
      <c r="T68" s="52"/>
      <c r="U68" s="52"/>
      <c r="V68" s="52"/>
      <c r="W68" s="52"/>
      <c r="X68" s="52"/>
      <c r="Y68" s="52"/>
      <c r="Z68" s="52"/>
    </row>
    <row r="69" spans="6:16">
      <c r="F69" s="203" t="s">
        <v>398</v>
      </c>
      <c r="G69" s="214" t="s">
        <v>399</v>
      </c>
      <c r="H69" s="202">
        <v>0.007088</v>
      </c>
      <c r="I69" s="202">
        <v>0.007088</v>
      </c>
      <c r="J69" s="202">
        <v>0.005063</v>
      </c>
      <c r="K69" s="202">
        <v>0.005063</v>
      </c>
      <c r="L69" s="202">
        <v>0.005063</v>
      </c>
      <c r="M69" s="202">
        <v>0.005063</v>
      </c>
      <c r="N69" s="211">
        <v>0.4</v>
      </c>
      <c r="O69" s="195" t="s">
        <v>26</v>
      </c>
      <c r="P69" s="53">
        <f t="shared" si="1"/>
        <v>0.06</v>
      </c>
    </row>
    <row r="70" spans="6:16">
      <c r="F70" s="203" t="s">
        <v>400</v>
      </c>
      <c r="G70" s="199" t="s">
        <v>401</v>
      </c>
      <c r="H70" s="202">
        <v>0.002025</v>
      </c>
      <c r="I70" s="202">
        <v>0.002025</v>
      </c>
      <c r="J70" s="202">
        <v>0.002025</v>
      </c>
      <c r="K70" s="202">
        <v>0.002025</v>
      </c>
      <c r="L70" s="202">
        <v>0.002025</v>
      </c>
      <c r="M70" s="202">
        <v>0.002025</v>
      </c>
      <c r="N70" s="211">
        <v>0.4</v>
      </c>
      <c r="O70" s="195" t="s">
        <v>39</v>
      </c>
      <c r="P70" s="53">
        <f t="shared" si="1"/>
        <v>0.15</v>
      </c>
    </row>
    <row r="71" spans="6:16">
      <c r="F71" s="201" t="s">
        <v>402</v>
      </c>
      <c r="G71" s="199" t="s">
        <v>403</v>
      </c>
      <c r="H71" s="202">
        <v>0.007088</v>
      </c>
      <c r="I71" s="202">
        <v>0.007088</v>
      </c>
      <c r="J71" s="202">
        <v>0.005063</v>
      </c>
      <c r="K71" s="202">
        <v>0.005063</v>
      </c>
      <c r="L71" s="202">
        <v>0.005063</v>
      </c>
      <c r="M71" s="202">
        <v>0.005063</v>
      </c>
      <c r="N71" s="211">
        <v>0.4</v>
      </c>
      <c r="O71" s="195" t="s">
        <v>47</v>
      </c>
      <c r="P71" s="53">
        <f t="shared" si="1"/>
        <v>0.17</v>
      </c>
    </row>
    <row r="72" spans="6:16">
      <c r="F72" s="201" t="s">
        <v>404</v>
      </c>
      <c r="G72" s="199" t="s">
        <v>405</v>
      </c>
      <c r="H72" s="202">
        <v>0.007088</v>
      </c>
      <c r="I72" s="202">
        <v>0.007088</v>
      </c>
      <c r="J72" s="202">
        <v>0.005063</v>
      </c>
      <c r="K72" s="202">
        <v>0.005063</v>
      </c>
      <c r="L72" s="202">
        <v>0.005063</v>
      </c>
      <c r="M72" s="202">
        <v>0.005063</v>
      </c>
      <c r="N72" s="211">
        <v>0.4</v>
      </c>
      <c r="O72" s="195" t="s">
        <v>47</v>
      </c>
      <c r="P72" s="53">
        <f t="shared" si="1"/>
        <v>0.17</v>
      </c>
    </row>
    <row r="73" spans="6:16">
      <c r="F73" s="201" t="s">
        <v>406</v>
      </c>
      <c r="G73" s="199" t="s">
        <v>407</v>
      </c>
      <c r="H73" s="202">
        <v>0.007088</v>
      </c>
      <c r="I73" s="202">
        <v>0.007088</v>
      </c>
      <c r="J73" s="202">
        <v>0.005063</v>
      </c>
      <c r="K73" s="202">
        <v>0.005063</v>
      </c>
      <c r="L73" s="202">
        <v>0.005063</v>
      </c>
      <c r="M73" s="202">
        <v>0.005063</v>
      </c>
      <c r="N73" s="211">
        <v>0.4</v>
      </c>
      <c r="O73" s="195" t="s">
        <v>47</v>
      </c>
      <c r="P73" s="53">
        <f t="shared" si="1"/>
        <v>0.17</v>
      </c>
    </row>
    <row r="74" spans="6:16">
      <c r="F74" s="201" t="s">
        <v>408</v>
      </c>
      <c r="G74" s="199" t="s">
        <v>409</v>
      </c>
      <c r="H74" s="202">
        <v>0.007088</v>
      </c>
      <c r="I74" s="202">
        <v>0.007088</v>
      </c>
      <c r="J74" s="202">
        <v>0.005063</v>
      </c>
      <c r="K74" s="202">
        <v>0.005063</v>
      </c>
      <c r="L74" s="202">
        <v>0.005063</v>
      </c>
      <c r="M74" s="202">
        <v>0.005063</v>
      </c>
      <c r="N74" s="211">
        <v>0.4</v>
      </c>
      <c r="O74" s="195" t="s">
        <v>28</v>
      </c>
      <c r="P74" s="53">
        <f t="shared" si="1"/>
        <v>0.12</v>
      </c>
    </row>
    <row r="75" spans="6:16">
      <c r="F75" s="201" t="s">
        <v>410</v>
      </c>
      <c r="G75" s="199" t="s">
        <v>411</v>
      </c>
      <c r="H75" s="202">
        <v>0.007088</v>
      </c>
      <c r="I75" s="202">
        <v>0.007088</v>
      </c>
      <c r="J75" s="202">
        <v>0.005063</v>
      </c>
      <c r="K75" s="202">
        <v>0.005063</v>
      </c>
      <c r="L75" s="202">
        <v>0.005063</v>
      </c>
      <c r="M75" s="202">
        <v>0.005063</v>
      </c>
      <c r="N75" s="211">
        <v>0.4</v>
      </c>
      <c r="O75" s="52" t="s">
        <v>47</v>
      </c>
      <c r="P75" s="53">
        <f t="shared" si="1"/>
        <v>0.17</v>
      </c>
    </row>
    <row r="76" spans="6:16">
      <c r="F76" s="201" t="s">
        <v>412</v>
      </c>
      <c r="G76" s="199" t="s">
        <v>413</v>
      </c>
      <c r="H76" s="202">
        <v>0.007088</v>
      </c>
      <c r="I76" s="202">
        <v>0.007088</v>
      </c>
      <c r="J76" s="202">
        <v>0.005063</v>
      </c>
      <c r="K76" s="202">
        <v>0.005063</v>
      </c>
      <c r="L76" s="202">
        <v>0.005063</v>
      </c>
      <c r="M76" s="202">
        <v>0.005063</v>
      </c>
      <c r="N76" s="211">
        <v>0.4</v>
      </c>
      <c r="O76" s="195" t="s">
        <v>5</v>
      </c>
      <c r="P76" s="53">
        <f t="shared" si="1"/>
        <v>0.2</v>
      </c>
    </row>
    <row r="77" spans="6:16">
      <c r="F77" s="201" t="s">
        <v>414</v>
      </c>
      <c r="G77" s="199" t="s">
        <v>415</v>
      </c>
      <c r="H77" s="202">
        <v>0.007088</v>
      </c>
      <c r="I77" s="202">
        <v>0.007088</v>
      </c>
      <c r="J77" s="202">
        <v>0.005063</v>
      </c>
      <c r="K77" s="202">
        <v>0.005063</v>
      </c>
      <c r="L77" s="202">
        <v>0.005063</v>
      </c>
      <c r="M77" s="202">
        <v>0.005063</v>
      </c>
      <c r="N77" s="211">
        <v>0.4</v>
      </c>
      <c r="O77" s="195" t="s">
        <v>5</v>
      </c>
      <c r="P77" s="53">
        <v>0.15</v>
      </c>
    </row>
    <row r="78" spans="6:16">
      <c r="F78" s="201" t="s">
        <v>416</v>
      </c>
      <c r="G78" s="199" t="s">
        <v>417</v>
      </c>
      <c r="H78" s="202">
        <v>0.007088</v>
      </c>
      <c r="I78" s="202">
        <v>0.007088</v>
      </c>
      <c r="J78" s="202">
        <v>0.005063</v>
      </c>
      <c r="K78" s="202">
        <v>0.005063</v>
      </c>
      <c r="L78" s="202">
        <v>0.005063</v>
      </c>
      <c r="M78" s="202">
        <v>0.005063</v>
      </c>
      <c r="N78" s="211">
        <v>0.4</v>
      </c>
      <c r="O78" s="195" t="s">
        <v>28</v>
      </c>
      <c r="P78" s="53">
        <f t="shared" si="1"/>
        <v>0.12</v>
      </c>
    </row>
    <row r="79" spans="6:16">
      <c r="F79" s="201" t="s">
        <v>418</v>
      </c>
      <c r="G79" s="199" t="s">
        <v>419</v>
      </c>
      <c r="H79" s="202">
        <v>0.007088</v>
      </c>
      <c r="I79" s="202">
        <v>0.007088</v>
      </c>
      <c r="J79" s="202">
        <v>0.005063</v>
      </c>
      <c r="K79" s="202">
        <v>0.005063</v>
      </c>
      <c r="L79" s="202">
        <v>0.005063</v>
      </c>
      <c r="M79" s="202">
        <v>0.005063</v>
      </c>
      <c r="N79" s="211">
        <v>0.4</v>
      </c>
      <c r="O79" s="195" t="s">
        <v>28</v>
      </c>
      <c r="P79" s="53">
        <f t="shared" si="1"/>
        <v>0.12</v>
      </c>
    </row>
    <row r="80" spans="6:16">
      <c r="F80" s="201" t="s">
        <v>420</v>
      </c>
      <c r="G80" s="199" t="s">
        <v>421</v>
      </c>
      <c r="H80" s="202">
        <v>0.007088</v>
      </c>
      <c r="I80" s="202">
        <v>0.007088</v>
      </c>
      <c r="J80" s="202">
        <v>0.005063</v>
      </c>
      <c r="K80" s="202">
        <v>0.005063</v>
      </c>
      <c r="L80" s="202">
        <v>0.005063</v>
      </c>
      <c r="M80" s="202">
        <v>0.005063</v>
      </c>
      <c r="N80" s="211">
        <v>0.4</v>
      </c>
      <c r="O80" s="195" t="s">
        <v>47</v>
      </c>
      <c r="P80" s="53">
        <f t="shared" si="1"/>
        <v>0.17</v>
      </c>
    </row>
    <row r="81" spans="6:16">
      <c r="F81" s="201" t="s">
        <v>422</v>
      </c>
      <c r="G81" s="199" t="s">
        <v>423</v>
      </c>
      <c r="H81" s="202">
        <v>0.007088</v>
      </c>
      <c r="I81" s="202">
        <v>0.007088</v>
      </c>
      <c r="J81" s="202">
        <v>0.005063</v>
      </c>
      <c r="K81" s="202">
        <v>0.005063</v>
      </c>
      <c r="L81" s="202">
        <v>0.005063</v>
      </c>
      <c r="M81" s="202">
        <v>0.005063</v>
      </c>
      <c r="N81" s="211">
        <v>0.4</v>
      </c>
      <c r="O81" s="195" t="s">
        <v>47</v>
      </c>
      <c r="P81" s="53">
        <f t="shared" si="1"/>
        <v>0.17</v>
      </c>
    </row>
    <row r="82" spans="6:16">
      <c r="F82" s="201" t="s">
        <v>424</v>
      </c>
      <c r="G82" s="199" t="s">
        <v>425</v>
      </c>
      <c r="H82" s="202">
        <v>0.007088</v>
      </c>
      <c r="I82" s="202">
        <v>0.007088</v>
      </c>
      <c r="J82" s="202">
        <v>0.005063</v>
      </c>
      <c r="K82" s="202">
        <v>0.005063</v>
      </c>
      <c r="L82" s="202">
        <v>0.005063</v>
      </c>
      <c r="M82" s="202">
        <v>0.005063</v>
      </c>
      <c r="N82" s="211">
        <v>0.4</v>
      </c>
      <c r="O82" s="195" t="s">
        <v>47</v>
      </c>
      <c r="P82" s="53">
        <f t="shared" si="1"/>
        <v>0.17</v>
      </c>
    </row>
    <row r="83" spans="6:16">
      <c r="F83" s="201" t="s">
        <v>426</v>
      </c>
      <c r="G83" s="199" t="s">
        <v>427</v>
      </c>
      <c r="H83" s="202">
        <v>0.007088</v>
      </c>
      <c r="I83" s="202">
        <v>0.007088</v>
      </c>
      <c r="J83" s="202">
        <v>0.005063</v>
      </c>
      <c r="K83" s="202">
        <v>0.005063</v>
      </c>
      <c r="L83" s="202">
        <v>0.005063</v>
      </c>
      <c r="M83" s="202">
        <v>0.005063</v>
      </c>
      <c r="N83" s="211">
        <v>0.4</v>
      </c>
      <c r="O83" s="195" t="s">
        <v>28</v>
      </c>
      <c r="P83" s="53">
        <f t="shared" si="1"/>
        <v>0.12</v>
      </c>
    </row>
    <row r="84" spans="6:16">
      <c r="F84" s="201" t="s">
        <v>428</v>
      </c>
      <c r="G84" s="199" t="s">
        <v>429</v>
      </c>
      <c r="H84" s="202">
        <v>0.033075</v>
      </c>
      <c r="I84" s="202">
        <v>0.033075</v>
      </c>
      <c r="J84" s="202">
        <v>0.023625</v>
      </c>
      <c r="K84" s="202">
        <v>0.023625</v>
      </c>
      <c r="L84" s="202">
        <v>0.023625</v>
      </c>
      <c r="M84" s="202">
        <v>0.023625</v>
      </c>
      <c r="N84" s="211">
        <v>1.5</v>
      </c>
      <c r="O84" s="195" t="s">
        <v>27</v>
      </c>
      <c r="P84" s="53">
        <f t="shared" si="1"/>
        <v>0.08</v>
      </c>
    </row>
    <row r="85" spans="6:16">
      <c r="F85" s="201" t="s">
        <v>430</v>
      </c>
      <c r="G85" s="199" t="s">
        <v>431</v>
      </c>
      <c r="H85" s="202">
        <v>0.0189</v>
      </c>
      <c r="I85" s="202">
        <v>0.0189</v>
      </c>
      <c r="J85" s="202">
        <v>0.0135</v>
      </c>
      <c r="K85" s="202">
        <v>0.0135</v>
      </c>
      <c r="L85" s="202">
        <v>0.0135</v>
      </c>
      <c r="M85" s="202">
        <v>0.0135</v>
      </c>
      <c r="N85" s="211">
        <v>0.8</v>
      </c>
      <c r="O85" s="195" t="s">
        <v>33</v>
      </c>
      <c r="P85" s="53">
        <f t="shared" si="1"/>
        <v>0.1</v>
      </c>
    </row>
    <row r="86" spans="6:14">
      <c r="F86" s="199"/>
      <c r="G86" s="199"/>
      <c r="H86" s="199"/>
      <c r="I86" s="199"/>
      <c r="J86" s="199"/>
      <c r="K86" s="199"/>
      <c r="L86" s="199"/>
      <c r="M86" s="199"/>
      <c r="N86" s="199"/>
    </row>
    <row r="87" spans="6:14">
      <c r="F87" s="199"/>
      <c r="G87" s="199"/>
      <c r="H87" s="199"/>
      <c r="I87" s="199"/>
      <c r="J87" s="199"/>
      <c r="K87" s="199"/>
      <c r="L87" s="199"/>
      <c r="M87" s="199"/>
      <c r="N87" s="199"/>
    </row>
    <row r="88" spans="6:14">
      <c r="F88" s="199"/>
      <c r="G88" s="199"/>
      <c r="H88" s="199"/>
      <c r="I88" s="199"/>
      <c r="J88" s="199"/>
      <c r="K88" s="199"/>
      <c r="L88" s="199"/>
      <c r="M88" s="199"/>
      <c r="N88" s="199"/>
    </row>
    <row r="89" spans="6:14">
      <c r="F89" s="199"/>
      <c r="G89" s="199"/>
      <c r="H89" s="199"/>
      <c r="I89" s="199"/>
      <c r="J89" s="199"/>
      <c r="K89" s="199"/>
      <c r="L89" s="199"/>
      <c r="M89" s="199"/>
      <c r="N89" s="199"/>
    </row>
    <row r="90" spans="6:14">
      <c r="F90" s="199"/>
      <c r="G90" s="199"/>
      <c r="H90" s="199"/>
      <c r="I90" s="199"/>
      <c r="J90" s="199"/>
      <c r="K90" s="199"/>
      <c r="L90" s="199"/>
      <c r="M90" s="199"/>
      <c r="N90" s="199"/>
    </row>
    <row r="91" spans="6:14">
      <c r="F91" s="199"/>
      <c r="G91" s="199"/>
      <c r="H91" s="199"/>
      <c r="I91" s="199"/>
      <c r="J91" s="199"/>
      <c r="K91" s="199"/>
      <c r="L91" s="199"/>
      <c r="M91" s="199"/>
      <c r="N91" s="199"/>
    </row>
    <row r="92" spans="6:14">
      <c r="F92" s="199"/>
      <c r="G92" s="199"/>
      <c r="H92" s="199"/>
      <c r="I92" s="199"/>
      <c r="J92" s="199"/>
      <c r="K92" s="199"/>
      <c r="L92" s="199"/>
      <c r="M92" s="199"/>
      <c r="N92" s="199"/>
    </row>
    <row r="93" spans="6:14">
      <c r="F93" s="199"/>
      <c r="G93" s="199"/>
      <c r="H93" s="199"/>
      <c r="I93" s="199"/>
      <c r="J93" s="199"/>
      <c r="K93" s="199"/>
      <c r="L93" s="199"/>
      <c r="M93" s="199"/>
      <c r="N93" s="199"/>
    </row>
    <row r="94" spans="6:14">
      <c r="F94" s="199"/>
      <c r="G94" s="199"/>
      <c r="H94" s="199"/>
      <c r="I94" s="199"/>
      <c r="J94" s="199"/>
      <c r="K94" s="199"/>
      <c r="L94" s="199"/>
      <c r="M94" s="199"/>
      <c r="N94" s="199"/>
    </row>
    <row r="95" spans="6:14">
      <c r="F95" s="199"/>
      <c r="G95" s="199"/>
      <c r="H95" s="199"/>
      <c r="I95" s="199"/>
      <c r="J95" s="199"/>
      <c r="K95" s="199"/>
      <c r="L95" s="199"/>
      <c r="M95" s="199"/>
      <c r="N95" s="199"/>
    </row>
    <row r="96" spans="6:14">
      <c r="F96" s="199"/>
      <c r="G96" s="199"/>
      <c r="H96" s="199"/>
      <c r="I96" s="199"/>
      <c r="J96" s="199"/>
      <c r="K96" s="199"/>
      <c r="L96" s="199"/>
      <c r="M96" s="199"/>
      <c r="N96" s="199"/>
    </row>
    <row r="97" spans="6:14">
      <c r="F97" s="199"/>
      <c r="G97" s="199"/>
      <c r="H97" s="199"/>
      <c r="I97" s="199"/>
      <c r="J97" s="199"/>
      <c r="K97" s="199"/>
      <c r="L97" s="199"/>
      <c r="M97" s="199"/>
      <c r="N97" s="199"/>
    </row>
    <row r="98" spans="6:14">
      <c r="F98" s="199"/>
      <c r="G98" s="199"/>
      <c r="H98" s="199"/>
      <c r="I98" s="199"/>
      <c r="J98" s="199"/>
      <c r="K98" s="199"/>
      <c r="L98" s="199"/>
      <c r="M98" s="199"/>
      <c r="N98" s="199"/>
    </row>
    <row r="99" spans="6:14">
      <c r="F99" s="199"/>
      <c r="G99" s="199"/>
      <c r="H99" s="199"/>
      <c r="I99" s="199"/>
      <c r="J99" s="199"/>
      <c r="K99" s="199"/>
      <c r="L99" s="199"/>
      <c r="M99" s="199"/>
      <c r="N99" s="199"/>
    </row>
    <row r="100" spans="6:14">
      <c r="F100" s="199"/>
      <c r="G100" s="199"/>
      <c r="H100" s="199"/>
      <c r="I100" s="199"/>
      <c r="J100" s="199"/>
      <c r="K100" s="199"/>
      <c r="L100" s="199"/>
      <c r="M100" s="199"/>
      <c r="N100" s="199"/>
    </row>
    <row r="101" spans="6:14">
      <c r="F101" s="199"/>
      <c r="G101" s="199"/>
      <c r="H101" s="199"/>
      <c r="I101" s="199"/>
      <c r="J101" s="199"/>
      <c r="K101" s="199"/>
      <c r="L101" s="199"/>
      <c r="M101" s="199"/>
      <c r="N101" s="199"/>
    </row>
    <row r="102" spans="6:14">
      <c r="F102" s="199"/>
      <c r="G102" s="199"/>
      <c r="H102" s="199"/>
      <c r="I102" s="199"/>
      <c r="J102" s="199"/>
      <c r="K102" s="199"/>
      <c r="L102" s="199"/>
      <c r="M102" s="199"/>
      <c r="N102" s="199"/>
    </row>
    <row r="103" spans="6:14">
      <c r="F103" s="199"/>
      <c r="G103" s="199"/>
      <c r="H103" s="199"/>
      <c r="I103" s="199"/>
      <c r="J103" s="199"/>
      <c r="K103" s="199"/>
      <c r="L103" s="199"/>
      <c r="M103" s="199"/>
      <c r="N103" s="199"/>
    </row>
    <row r="104" spans="6:14">
      <c r="F104" s="199"/>
      <c r="G104" s="199"/>
      <c r="H104" s="199"/>
      <c r="I104" s="199"/>
      <c r="J104" s="199"/>
      <c r="K104" s="199"/>
      <c r="L104" s="199"/>
      <c r="M104" s="199"/>
      <c r="N104" s="199"/>
    </row>
    <row r="105" spans="6:14">
      <c r="F105" s="199"/>
      <c r="G105" s="199"/>
      <c r="H105" s="199"/>
      <c r="I105" s="199"/>
      <c r="J105" s="199"/>
      <c r="K105" s="199"/>
      <c r="L105" s="199"/>
      <c r="M105" s="199"/>
      <c r="N105" s="199"/>
    </row>
    <row r="106" spans="6:14">
      <c r="F106" s="199"/>
      <c r="G106" s="199"/>
      <c r="H106" s="199"/>
      <c r="I106" s="199"/>
      <c r="J106" s="199"/>
      <c r="K106" s="199"/>
      <c r="L106" s="199"/>
      <c r="M106" s="199"/>
      <c r="N106" s="199"/>
    </row>
    <row r="107" spans="6:14">
      <c r="F107" s="199"/>
      <c r="G107" s="199"/>
      <c r="H107" s="199"/>
      <c r="I107" s="199"/>
      <c r="J107" s="199"/>
      <c r="K107" s="199"/>
      <c r="L107" s="199"/>
      <c r="M107" s="199"/>
      <c r="N107" s="199"/>
    </row>
    <row r="108" spans="6:14">
      <c r="F108" s="199"/>
      <c r="G108" s="199"/>
      <c r="H108" s="199"/>
      <c r="I108" s="199"/>
      <c r="J108" s="199"/>
      <c r="K108" s="199"/>
      <c r="L108" s="199"/>
      <c r="M108" s="199"/>
      <c r="N108" s="199"/>
    </row>
    <row r="109" spans="6:14">
      <c r="F109" s="199"/>
      <c r="G109" s="199"/>
      <c r="H109" s="199"/>
      <c r="I109" s="199"/>
      <c r="J109" s="199"/>
      <c r="K109" s="199"/>
      <c r="L109" s="199"/>
      <c r="M109" s="199"/>
      <c r="N109" s="199"/>
    </row>
    <row r="110" spans="6:14">
      <c r="F110" s="199"/>
      <c r="G110" s="199"/>
      <c r="H110" s="199"/>
      <c r="I110" s="199"/>
      <c r="J110" s="199"/>
      <c r="K110" s="199"/>
      <c r="L110" s="199"/>
      <c r="M110" s="199"/>
      <c r="N110" s="199"/>
    </row>
    <row r="111" spans="6:14">
      <c r="F111" s="199"/>
      <c r="G111" s="199"/>
      <c r="H111" s="199"/>
      <c r="I111" s="199"/>
      <c r="J111" s="199"/>
      <c r="K111" s="199"/>
      <c r="L111" s="199"/>
      <c r="M111" s="199"/>
      <c r="N111" s="199"/>
    </row>
    <row r="112" spans="6:14">
      <c r="F112" s="199"/>
      <c r="G112" s="199"/>
      <c r="H112" s="199"/>
      <c r="I112" s="199"/>
      <c r="J112" s="199"/>
      <c r="K112" s="199"/>
      <c r="L112" s="199"/>
      <c r="M112" s="199"/>
      <c r="N112" s="199"/>
    </row>
    <row r="113" spans="6:14">
      <c r="F113" s="199"/>
      <c r="G113" s="199"/>
      <c r="H113" s="199"/>
      <c r="I113" s="199"/>
      <c r="J113" s="199"/>
      <c r="K113" s="199"/>
      <c r="L113" s="199"/>
      <c r="M113" s="199"/>
      <c r="N113" s="199"/>
    </row>
    <row r="114" spans="6:14">
      <c r="F114" s="199"/>
      <c r="G114" s="199"/>
      <c r="H114" s="199"/>
      <c r="I114" s="199"/>
      <c r="J114" s="199"/>
      <c r="K114" s="199"/>
      <c r="L114" s="199"/>
      <c r="M114" s="199"/>
      <c r="N114" s="199"/>
    </row>
    <row r="115" spans="6:14">
      <c r="F115" s="199"/>
      <c r="G115" s="199"/>
      <c r="H115" s="199"/>
      <c r="I115" s="199"/>
      <c r="J115" s="199"/>
      <c r="K115" s="199"/>
      <c r="L115" s="199"/>
      <c r="M115" s="199"/>
      <c r="N115" s="199"/>
    </row>
    <row r="116" spans="6:14">
      <c r="F116" s="199"/>
      <c r="G116" s="199"/>
      <c r="H116" s="199"/>
      <c r="I116" s="199"/>
      <c r="J116" s="199"/>
      <c r="K116" s="199"/>
      <c r="L116" s="199"/>
      <c r="M116" s="199"/>
      <c r="N116" s="199"/>
    </row>
    <row r="117" spans="6:14">
      <c r="F117" s="199"/>
      <c r="G117" s="199"/>
      <c r="H117" s="199"/>
      <c r="I117" s="199"/>
      <c r="J117" s="199"/>
      <c r="K117" s="199"/>
      <c r="L117" s="199"/>
      <c r="M117" s="199"/>
      <c r="N117" s="199"/>
    </row>
    <row r="118" spans="6:14">
      <c r="F118" s="199"/>
      <c r="G118" s="199"/>
      <c r="H118" s="199"/>
      <c r="I118" s="199"/>
      <c r="J118" s="199"/>
      <c r="K118" s="199"/>
      <c r="L118" s="199"/>
      <c r="M118" s="199"/>
      <c r="N118" s="199"/>
    </row>
    <row r="119" spans="6:14">
      <c r="F119" s="199"/>
      <c r="G119" s="199"/>
      <c r="H119" s="199"/>
      <c r="I119" s="199"/>
      <c r="J119" s="199"/>
      <c r="K119" s="199"/>
      <c r="L119" s="199"/>
      <c r="M119" s="199"/>
      <c r="N119" s="199"/>
    </row>
    <row r="120" spans="6:14">
      <c r="F120" s="199"/>
      <c r="G120" s="199"/>
      <c r="H120" s="199"/>
      <c r="I120" s="199"/>
      <c r="J120" s="199"/>
      <c r="K120" s="199"/>
      <c r="L120" s="199"/>
      <c r="M120" s="199"/>
      <c r="N120" s="199"/>
    </row>
    <row r="121" spans="6:14">
      <c r="F121" s="199"/>
      <c r="G121" s="199"/>
      <c r="H121" s="199"/>
      <c r="I121" s="199"/>
      <c r="J121" s="199"/>
      <c r="K121" s="199"/>
      <c r="L121" s="199"/>
      <c r="M121" s="199"/>
      <c r="N121" s="199"/>
    </row>
    <row r="122" spans="6:14">
      <c r="F122" s="199"/>
      <c r="G122" s="199"/>
      <c r="H122" s="199"/>
      <c r="I122" s="199"/>
      <c r="J122" s="199"/>
      <c r="K122" s="199"/>
      <c r="L122" s="199"/>
      <c r="M122" s="199"/>
      <c r="N122" s="199"/>
    </row>
    <row r="123" spans="6:14">
      <c r="F123" s="199"/>
      <c r="G123" s="199"/>
      <c r="H123" s="199"/>
      <c r="I123" s="199"/>
      <c r="J123" s="199"/>
      <c r="K123" s="199"/>
      <c r="L123" s="199"/>
      <c r="M123" s="199"/>
      <c r="N123" s="199"/>
    </row>
    <row r="124" spans="6:14">
      <c r="F124" s="199"/>
      <c r="G124" s="199"/>
      <c r="H124" s="199"/>
      <c r="I124" s="199"/>
      <c r="J124" s="199"/>
      <c r="K124" s="199"/>
      <c r="L124" s="199"/>
      <c r="M124" s="199"/>
      <c r="N124" s="199"/>
    </row>
    <row r="125" spans="6:14">
      <c r="F125" s="199"/>
      <c r="G125" s="199"/>
      <c r="H125" s="199"/>
      <c r="I125" s="199"/>
      <c r="J125" s="199"/>
      <c r="K125" s="199"/>
      <c r="L125" s="199"/>
      <c r="M125" s="199"/>
      <c r="N125" s="199"/>
    </row>
    <row r="126" spans="6:14">
      <c r="F126" s="199"/>
      <c r="G126" s="199"/>
      <c r="H126" s="199"/>
      <c r="I126" s="199"/>
      <c r="J126" s="199"/>
      <c r="K126" s="199"/>
      <c r="L126" s="199"/>
      <c r="M126" s="199"/>
      <c r="N126" s="199"/>
    </row>
    <row r="127" spans="6:14">
      <c r="F127" s="199"/>
      <c r="G127" s="199"/>
      <c r="H127" s="199"/>
      <c r="I127" s="199"/>
      <c r="J127" s="199"/>
      <c r="K127" s="199"/>
      <c r="L127" s="199"/>
      <c r="M127" s="199"/>
      <c r="N127" s="199"/>
    </row>
    <row r="128" spans="6:14">
      <c r="F128" s="199"/>
      <c r="G128" s="199"/>
      <c r="H128" s="199"/>
      <c r="I128" s="199"/>
      <c r="J128" s="199"/>
      <c r="K128" s="199"/>
      <c r="L128" s="199"/>
      <c r="M128" s="199"/>
      <c r="N128" s="199"/>
    </row>
    <row r="129" spans="6:14">
      <c r="F129" s="199"/>
      <c r="G129" s="199"/>
      <c r="H129" s="199"/>
      <c r="I129" s="199"/>
      <c r="J129" s="199"/>
      <c r="K129" s="199"/>
      <c r="L129" s="199"/>
      <c r="M129" s="199"/>
      <c r="N129" s="199"/>
    </row>
    <row r="130" spans="6:14">
      <c r="F130" s="199"/>
      <c r="G130" s="199"/>
      <c r="H130" s="199"/>
      <c r="I130" s="199"/>
      <c r="J130" s="199"/>
      <c r="K130" s="199"/>
      <c r="L130" s="199"/>
      <c r="M130" s="199"/>
      <c r="N130" s="199"/>
    </row>
    <row r="131" spans="6:14">
      <c r="F131" s="199"/>
      <c r="G131" s="199"/>
      <c r="H131" s="199"/>
      <c r="I131" s="199"/>
      <c r="J131" s="199"/>
      <c r="K131" s="199"/>
      <c r="L131" s="199"/>
      <c r="M131" s="199"/>
      <c r="N131" s="199"/>
    </row>
    <row r="132" spans="6:14">
      <c r="F132" s="199"/>
      <c r="G132" s="199"/>
      <c r="H132" s="199"/>
      <c r="I132" s="199"/>
      <c r="J132" s="199"/>
      <c r="K132" s="199"/>
      <c r="L132" s="199"/>
      <c r="M132" s="199"/>
      <c r="N132" s="199"/>
    </row>
    <row r="133" spans="6:14">
      <c r="F133" s="199"/>
      <c r="G133" s="199"/>
      <c r="H133" s="199"/>
      <c r="I133" s="199"/>
      <c r="J133" s="199"/>
      <c r="K133" s="199"/>
      <c r="L133" s="199"/>
      <c r="M133" s="199"/>
      <c r="N133" s="199"/>
    </row>
    <row r="134" spans="6:14">
      <c r="F134" s="199"/>
      <c r="G134" s="199"/>
      <c r="H134" s="199"/>
      <c r="I134" s="199"/>
      <c r="J134" s="199"/>
      <c r="K134" s="199"/>
      <c r="L134" s="199"/>
      <c r="M134" s="199"/>
      <c r="N134" s="199"/>
    </row>
    <row r="135" spans="6:14">
      <c r="F135" s="199"/>
      <c r="G135" s="199"/>
      <c r="H135" s="199"/>
      <c r="I135" s="199"/>
      <c r="J135" s="199"/>
      <c r="K135" s="199"/>
      <c r="L135" s="199"/>
      <c r="M135" s="199"/>
      <c r="N135" s="199"/>
    </row>
    <row r="136" spans="6:14">
      <c r="F136" s="199"/>
      <c r="G136" s="199"/>
      <c r="H136" s="199"/>
      <c r="I136" s="199"/>
      <c r="J136" s="199"/>
      <c r="K136" s="199"/>
      <c r="L136" s="199"/>
      <c r="M136" s="199"/>
      <c r="N136" s="199"/>
    </row>
    <row r="137" spans="6:14">
      <c r="F137" s="199"/>
      <c r="G137" s="199"/>
      <c r="H137" s="199"/>
      <c r="I137" s="199"/>
      <c r="J137" s="199"/>
      <c r="K137" s="199"/>
      <c r="L137" s="199"/>
      <c r="M137" s="199"/>
      <c r="N137" s="199"/>
    </row>
    <row r="138" spans="6:14">
      <c r="F138" s="199"/>
      <c r="G138" s="199"/>
      <c r="H138" s="199"/>
      <c r="I138" s="199"/>
      <c r="J138" s="199"/>
      <c r="K138" s="199"/>
      <c r="L138" s="199"/>
      <c r="M138" s="199"/>
      <c r="N138" s="199"/>
    </row>
    <row r="139" spans="6:14">
      <c r="F139" s="199"/>
      <c r="G139" s="199"/>
      <c r="H139" s="199"/>
      <c r="I139" s="199"/>
      <c r="J139" s="199"/>
      <c r="K139" s="199"/>
      <c r="L139" s="199"/>
      <c r="M139" s="199"/>
      <c r="N139" s="199"/>
    </row>
    <row r="140" spans="6:14">
      <c r="F140" s="199"/>
      <c r="G140" s="199"/>
      <c r="H140" s="199"/>
      <c r="I140" s="199"/>
      <c r="J140" s="199"/>
      <c r="K140" s="199"/>
      <c r="L140" s="199"/>
      <c r="M140" s="199"/>
      <c r="N140" s="199"/>
    </row>
    <row r="141" spans="6:14">
      <c r="F141" s="199"/>
      <c r="G141" s="199"/>
      <c r="H141" s="199"/>
      <c r="I141" s="199"/>
      <c r="J141" s="199"/>
      <c r="K141" s="199"/>
      <c r="L141" s="199"/>
      <c r="M141" s="199"/>
      <c r="N141" s="199"/>
    </row>
    <row r="142" spans="6:14">
      <c r="F142" s="199"/>
      <c r="G142" s="199"/>
      <c r="H142" s="199"/>
      <c r="I142" s="199"/>
      <c r="J142" s="199"/>
      <c r="K142" s="199"/>
      <c r="L142" s="199"/>
      <c r="M142" s="199"/>
      <c r="N142" s="199"/>
    </row>
    <row r="143" spans="6:14">
      <c r="F143" s="199"/>
      <c r="G143" s="199"/>
      <c r="H143" s="199"/>
      <c r="I143" s="199"/>
      <c r="J143" s="199"/>
      <c r="K143" s="199"/>
      <c r="L143" s="199"/>
      <c r="M143" s="199"/>
      <c r="N143" s="199"/>
    </row>
    <row r="144" spans="6:14">
      <c r="F144" s="199"/>
      <c r="G144" s="199"/>
      <c r="H144" s="199"/>
      <c r="I144" s="199"/>
      <c r="J144" s="199"/>
      <c r="K144" s="199"/>
      <c r="L144" s="199"/>
      <c r="M144" s="199"/>
      <c r="N144" s="199"/>
    </row>
    <row r="145" spans="6:14">
      <c r="F145" s="199"/>
      <c r="G145" s="199"/>
      <c r="H145" s="199"/>
      <c r="I145" s="199"/>
      <c r="J145" s="199"/>
      <c r="K145" s="199"/>
      <c r="L145" s="199"/>
      <c r="M145" s="199"/>
      <c r="N145" s="199"/>
    </row>
    <row r="146" spans="6:14">
      <c r="F146" s="199"/>
      <c r="G146" s="199"/>
      <c r="H146" s="199"/>
      <c r="I146" s="199"/>
      <c r="J146" s="199"/>
      <c r="K146" s="199"/>
      <c r="L146" s="199"/>
      <c r="M146" s="199"/>
      <c r="N146" s="199"/>
    </row>
    <row r="147" spans="6:14">
      <c r="F147" s="199"/>
      <c r="G147" s="199"/>
      <c r="H147" s="199"/>
      <c r="I147" s="199"/>
      <c r="J147" s="199"/>
      <c r="K147" s="199"/>
      <c r="L147" s="199"/>
      <c r="M147" s="199"/>
      <c r="N147" s="199"/>
    </row>
    <row r="148" spans="6:14">
      <c r="F148" s="199"/>
      <c r="G148" s="199"/>
      <c r="H148" s="199"/>
      <c r="I148" s="199"/>
      <c r="J148" s="199"/>
      <c r="K148" s="199"/>
      <c r="L148" s="199"/>
      <c r="M148" s="199"/>
      <c r="N148" s="199"/>
    </row>
    <row r="149" spans="6:14">
      <c r="F149" s="199"/>
      <c r="G149" s="199"/>
      <c r="H149" s="199"/>
      <c r="I149" s="199"/>
      <c r="J149" s="199"/>
      <c r="K149" s="199"/>
      <c r="L149" s="199"/>
      <c r="M149" s="199"/>
      <c r="N149" s="199"/>
    </row>
    <row r="150" spans="6:14">
      <c r="F150" s="199"/>
      <c r="G150" s="199"/>
      <c r="H150" s="199"/>
      <c r="I150" s="199"/>
      <c r="J150" s="199"/>
      <c r="K150" s="199"/>
      <c r="L150" s="199"/>
      <c r="M150" s="199"/>
      <c r="N150" s="199"/>
    </row>
    <row r="151" spans="6:14">
      <c r="F151" s="199"/>
      <c r="G151" s="199"/>
      <c r="H151" s="199"/>
      <c r="I151" s="199"/>
      <c r="J151" s="199"/>
      <c r="K151" s="199"/>
      <c r="L151" s="199"/>
      <c r="M151" s="199"/>
      <c r="N151" s="199"/>
    </row>
    <row r="152" spans="6:14">
      <c r="F152" s="199"/>
      <c r="G152" s="199"/>
      <c r="H152" s="199"/>
      <c r="I152" s="199"/>
      <c r="J152" s="199"/>
      <c r="K152" s="199"/>
      <c r="L152" s="199"/>
      <c r="M152" s="199"/>
      <c r="N152" s="199"/>
    </row>
    <row r="153" spans="6:14">
      <c r="F153" s="199"/>
      <c r="G153" s="199"/>
      <c r="H153" s="199"/>
      <c r="I153" s="199"/>
      <c r="J153" s="199"/>
      <c r="K153" s="199"/>
      <c r="L153" s="199"/>
      <c r="M153" s="199"/>
      <c r="N153" s="199"/>
    </row>
    <row r="154" spans="6:14">
      <c r="F154" s="199"/>
      <c r="G154" s="199"/>
      <c r="H154" s="199"/>
      <c r="I154" s="199"/>
      <c r="J154" s="199"/>
      <c r="K154" s="199"/>
      <c r="L154" s="199"/>
      <c r="M154" s="199"/>
      <c r="N154" s="199"/>
    </row>
    <row r="155" spans="6:14">
      <c r="F155" s="199"/>
      <c r="G155" s="199"/>
      <c r="H155" s="199"/>
      <c r="I155" s="199"/>
      <c r="J155" s="199"/>
      <c r="K155" s="199"/>
      <c r="L155" s="199"/>
      <c r="M155" s="199"/>
      <c r="N155" s="199"/>
    </row>
    <row r="156" spans="6:14">
      <c r="F156" s="199"/>
      <c r="G156" s="199"/>
      <c r="H156" s="199"/>
      <c r="I156" s="199"/>
      <c r="J156" s="199"/>
      <c r="K156" s="199"/>
      <c r="L156" s="199"/>
      <c r="M156" s="199"/>
      <c r="N156" s="199"/>
    </row>
    <row r="157" spans="6:14">
      <c r="F157" s="199"/>
      <c r="G157" s="199"/>
      <c r="H157" s="199"/>
      <c r="I157" s="199"/>
      <c r="J157" s="199"/>
      <c r="K157" s="199"/>
      <c r="L157" s="199"/>
      <c r="M157" s="199"/>
      <c r="N157" s="199"/>
    </row>
    <row r="158" spans="6:14">
      <c r="F158" s="199"/>
      <c r="G158" s="199"/>
      <c r="H158" s="199"/>
      <c r="I158" s="199"/>
      <c r="J158" s="199"/>
      <c r="K158" s="199"/>
      <c r="L158" s="199"/>
      <c r="M158" s="199"/>
      <c r="N158" s="199"/>
    </row>
    <row r="159" spans="6:14">
      <c r="F159" s="199"/>
      <c r="G159" s="199"/>
      <c r="H159" s="199"/>
      <c r="I159" s="199"/>
      <c r="J159" s="199"/>
      <c r="K159" s="199"/>
      <c r="L159" s="199"/>
      <c r="M159" s="199"/>
      <c r="N159" s="199"/>
    </row>
    <row r="160" spans="6:14">
      <c r="F160" s="199"/>
      <c r="G160" s="199"/>
      <c r="H160" s="199"/>
      <c r="I160" s="199"/>
      <c r="J160" s="199"/>
      <c r="K160" s="199"/>
      <c r="L160" s="199"/>
      <c r="M160" s="199"/>
      <c r="N160" s="199"/>
    </row>
    <row r="161" spans="6:14">
      <c r="F161" s="199"/>
      <c r="G161" s="199"/>
      <c r="H161" s="199"/>
      <c r="I161" s="199"/>
      <c r="J161" s="199"/>
      <c r="K161" s="199"/>
      <c r="L161" s="199"/>
      <c r="M161" s="199"/>
      <c r="N161" s="199"/>
    </row>
    <row r="162" spans="6:14">
      <c r="F162" s="199"/>
      <c r="G162" s="199"/>
      <c r="H162" s="199"/>
      <c r="I162" s="199"/>
      <c r="J162" s="199"/>
      <c r="K162" s="199"/>
      <c r="L162" s="199"/>
      <c r="M162" s="199"/>
      <c r="N162" s="199"/>
    </row>
    <row r="163" spans="6:14">
      <c r="F163" s="199"/>
      <c r="G163" s="199"/>
      <c r="H163" s="199"/>
      <c r="I163" s="199"/>
      <c r="J163" s="199"/>
      <c r="K163" s="199"/>
      <c r="L163" s="199"/>
      <c r="M163" s="199"/>
      <c r="N163" s="199"/>
    </row>
    <row r="164" spans="6:14">
      <c r="F164" s="199"/>
      <c r="G164" s="199"/>
      <c r="H164" s="199"/>
      <c r="I164" s="199"/>
      <c r="J164" s="199"/>
      <c r="K164" s="199"/>
      <c r="L164" s="199"/>
      <c r="M164" s="199"/>
      <c r="N164" s="199"/>
    </row>
    <row r="165" spans="6:14">
      <c r="F165" s="199"/>
      <c r="G165" s="199"/>
      <c r="H165" s="199"/>
      <c r="I165" s="199"/>
      <c r="J165" s="199"/>
      <c r="K165" s="199"/>
      <c r="L165" s="199"/>
      <c r="M165" s="199"/>
      <c r="N165" s="199"/>
    </row>
    <row r="166" spans="6:14">
      <c r="F166" s="199"/>
      <c r="G166" s="199"/>
      <c r="H166" s="199"/>
      <c r="I166" s="199"/>
      <c r="J166" s="199"/>
      <c r="K166" s="199"/>
      <c r="L166" s="199"/>
      <c r="M166" s="199"/>
      <c r="N166" s="199"/>
    </row>
    <row r="167" spans="6:14">
      <c r="F167" s="199"/>
      <c r="G167" s="199"/>
      <c r="H167" s="199"/>
      <c r="I167" s="199"/>
      <c r="J167" s="199"/>
      <c r="K167" s="199"/>
      <c r="L167" s="199"/>
      <c r="M167" s="199"/>
      <c r="N167" s="199"/>
    </row>
    <row r="168" spans="6:14">
      <c r="F168" s="199"/>
      <c r="G168" s="199"/>
      <c r="H168" s="199"/>
      <c r="I168" s="199"/>
      <c r="J168" s="199"/>
      <c r="K168" s="199"/>
      <c r="L168" s="199"/>
      <c r="M168" s="199"/>
      <c r="N168" s="199"/>
    </row>
    <row r="169" spans="6:14">
      <c r="F169" s="199"/>
      <c r="G169" s="199"/>
      <c r="H169" s="199"/>
      <c r="I169" s="199"/>
      <c r="J169" s="199"/>
      <c r="K169" s="199"/>
      <c r="L169" s="199"/>
      <c r="M169" s="199"/>
      <c r="N169" s="199"/>
    </row>
    <row r="170" spans="6:14">
      <c r="F170" s="199"/>
      <c r="G170" s="199"/>
      <c r="H170" s="199"/>
      <c r="I170" s="199"/>
      <c r="J170" s="199"/>
      <c r="K170" s="199"/>
      <c r="L170" s="199"/>
      <c r="M170" s="199"/>
      <c r="N170" s="199"/>
    </row>
    <row r="171" spans="6:14">
      <c r="F171" s="199"/>
      <c r="G171" s="199"/>
      <c r="H171" s="199"/>
      <c r="I171" s="199"/>
      <c r="J171" s="199"/>
      <c r="K171" s="199"/>
      <c r="L171" s="199"/>
      <c r="M171" s="199"/>
      <c r="N171" s="199"/>
    </row>
    <row r="172" spans="6:14">
      <c r="F172" s="199"/>
      <c r="G172" s="199"/>
      <c r="H172" s="199"/>
      <c r="I172" s="199"/>
      <c r="J172" s="199"/>
      <c r="K172" s="199"/>
      <c r="L172" s="199"/>
      <c r="M172" s="199"/>
      <c r="N172" s="199"/>
    </row>
    <row r="173" spans="6:14">
      <c r="F173" s="199"/>
      <c r="G173" s="199"/>
      <c r="H173" s="199"/>
      <c r="I173" s="199"/>
      <c r="J173" s="199"/>
      <c r="K173" s="199"/>
      <c r="L173" s="199"/>
      <c r="M173" s="199"/>
      <c r="N173" s="199"/>
    </row>
    <row r="174" spans="6:14">
      <c r="F174" s="199"/>
      <c r="G174" s="199"/>
      <c r="H174" s="199"/>
      <c r="I174" s="199"/>
      <c r="J174" s="199"/>
      <c r="K174" s="199"/>
      <c r="L174" s="199"/>
      <c r="M174" s="199"/>
      <c r="N174" s="199"/>
    </row>
    <row r="175" spans="6:14">
      <c r="F175" s="199"/>
      <c r="G175" s="199"/>
      <c r="H175" s="199"/>
      <c r="I175" s="199"/>
      <c r="J175" s="199"/>
      <c r="K175" s="199"/>
      <c r="L175" s="199"/>
      <c r="M175" s="199"/>
      <c r="N175" s="199"/>
    </row>
    <row r="176" spans="6:14">
      <c r="F176" s="199"/>
      <c r="G176" s="199"/>
      <c r="H176" s="199"/>
      <c r="I176" s="199"/>
      <c r="J176" s="199"/>
      <c r="K176" s="199"/>
      <c r="L176" s="199"/>
      <c r="M176" s="199"/>
      <c r="N176" s="199"/>
    </row>
    <row r="177" spans="6:14">
      <c r="F177" s="199"/>
      <c r="G177" s="199"/>
      <c r="H177" s="199"/>
      <c r="I177" s="199"/>
      <c r="J177" s="199"/>
      <c r="K177" s="199"/>
      <c r="L177" s="199"/>
      <c r="M177" s="199"/>
      <c r="N177" s="199"/>
    </row>
    <row r="178" spans="6:14">
      <c r="F178" s="199"/>
      <c r="G178" s="199"/>
      <c r="H178" s="199"/>
      <c r="I178" s="199"/>
      <c r="J178" s="199"/>
      <c r="K178" s="199"/>
      <c r="L178" s="199"/>
      <c r="M178" s="199"/>
      <c r="N178" s="199"/>
    </row>
    <row r="179" spans="6:14">
      <c r="F179" s="199"/>
      <c r="G179" s="199"/>
      <c r="H179" s="199"/>
      <c r="I179" s="199"/>
      <c r="J179" s="199"/>
      <c r="K179" s="199"/>
      <c r="L179" s="199"/>
      <c r="M179" s="199"/>
      <c r="N179" s="199"/>
    </row>
    <row r="180" spans="6:14">
      <c r="F180" s="199"/>
      <c r="G180" s="199"/>
      <c r="H180" s="199"/>
      <c r="I180" s="199"/>
      <c r="J180" s="199"/>
      <c r="K180" s="199"/>
      <c r="L180" s="199"/>
      <c r="M180" s="199"/>
      <c r="N180" s="199"/>
    </row>
    <row r="181" spans="6:14">
      <c r="F181" s="199"/>
      <c r="G181" s="199"/>
      <c r="H181" s="199"/>
      <c r="I181" s="199"/>
      <c r="J181" s="199"/>
      <c r="K181" s="199"/>
      <c r="L181" s="199"/>
      <c r="M181" s="199"/>
      <c r="N181" s="199"/>
    </row>
    <row r="182" spans="6:14">
      <c r="F182" s="199"/>
      <c r="G182" s="199"/>
      <c r="H182" s="199"/>
      <c r="I182" s="199"/>
      <c r="J182" s="199"/>
      <c r="K182" s="199"/>
      <c r="L182" s="199"/>
      <c r="M182" s="199"/>
      <c r="N182" s="199"/>
    </row>
    <row r="183" spans="6:14">
      <c r="F183" s="199"/>
      <c r="G183" s="199"/>
      <c r="H183" s="199"/>
      <c r="I183" s="199"/>
      <c r="J183" s="199"/>
      <c r="K183" s="199"/>
      <c r="L183" s="199"/>
      <c r="M183" s="199"/>
      <c r="N183" s="199"/>
    </row>
    <row r="184" spans="6:14">
      <c r="F184" s="199"/>
      <c r="G184" s="199"/>
      <c r="H184" s="199"/>
      <c r="I184" s="199"/>
      <c r="J184" s="199"/>
      <c r="K184" s="199"/>
      <c r="L184" s="199"/>
      <c r="M184" s="199"/>
      <c r="N184" s="199"/>
    </row>
    <row r="185" spans="6:14">
      <c r="F185" s="199"/>
      <c r="G185" s="199"/>
      <c r="H185" s="199"/>
      <c r="I185" s="199"/>
      <c r="J185" s="199"/>
      <c r="K185" s="199"/>
      <c r="L185" s="199"/>
      <c r="M185" s="199"/>
      <c r="N185" s="199"/>
    </row>
    <row r="186" spans="6:14">
      <c r="F186" s="199"/>
      <c r="G186" s="199"/>
      <c r="H186" s="199"/>
      <c r="I186" s="199"/>
      <c r="J186" s="199"/>
      <c r="K186" s="199"/>
      <c r="L186" s="199"/>
      <c r="M186" s="199"/>
      <c r="N186" s="199"/>
    </row>
    <row r="187" spans="6:14">
      <c r="F187" s="199"/>
      <c r="G187" s="199"/>
      <c r="H187" s="199"/>
      <c r="I187" s="199"/>
      <c r="J187" s="199"/>
      <c r="K187" s="199"/>
      <c r="L187" s="199"/>
      <c r="M187" s="199"/>
      <c r="N187" s="199"/>
    </row>
    <row r="188" spans="6:14">
      <c r="F188" s="199"/>
      <c r="G188" s="199"/>
      <c r="H188" s="199"/>
      <c r="I188" s="199"/>
      <c r="J188" s="199"/>
      <c r="K188" s="199"/>
      <c r="L188" s="199"/>
      <c r="M188" s="199"/>
      <c r="N188" s="199"/>
    </row>
    <row r="189" spans="6:14">
      <c r="F189" s="199"/>
      <c r="G189" s="199"/>
      <c r="H189" s="199"/>
      <c r="I189" s="199"/>
      <c r="J189" s="199"/>
      <c r="K189" s="199"/>
      <c r="L189" s="199"/>
      <c r="M189" s="199"/>
      <c r="N189" s="199"/>
    </row>
    <row r="190" spans="6:14">
      <c r="F190" s="199"/>
      <c r="G190" s="199"/>
      <c r="H190" s="199"/>
      <c r="I190" s="199"/>
      <c r="J190" s="199"/>
      <c r="K190" s="199"/>
      <c r="L190" s="199"/>
      <c r="M190" s="199"/>
      <c r="N190" s="199"/>
    </row>
    <row r="191" spans="6:14">
      <c r="F191" s="199"/>
      <c r="G191" s="199"/>
      <c r="H191" s="199"/>
      <c r="I191" s="199"/>
      <c r="J191" s="199"/>
      <c r="K191" s="199"/>
      <c r="L191" s="199"/>
      <c r="M191" s="199"/>
      <c r="N191" s="199"/>
    </row>
    <row r="192" spans="6:14">
      <c r="F192" s="199"/>
      <c r="G192" s="199"/>
      <c r="H192" s="199"/>
      <c r="I192" s="199"/>
      <c r="J192" s="199"/>
      <c r="K192" s="199"/>
      <c r="L192" s="199"/>
      <c r="M192" s="199"/>
      <c r="N192" s="199"/>
    </row>
    <row r="193" spans="6:14">
      <c r="F193" s="199"/>
      <c r="G193" s="199"/>
      <c r="H193" s="199"/>
      <c r="I193" s="199"/>
      <c r="J193" s="199"/>
      <c r="K193" s="199"/>
      <c r="L193" s="199"/>
      <c r="M193" s="199"/>
      <c r="N193" s="199"/>
    </row>
    <row r="194" spans="6:14">
      <c r="F194" s="199"/>
      <c r="G194" s="199"/>
      <c r="H194" s="199"/>
      <c r="I194" s="199"/>
      <c r="J194" s="199"/>
      <c r="K194" s="199"/>
      <c r="L194" s="199"/>
      <c r="M194" s="199"/>
      <c r="N194" s="199"/>
    </row>
    <row r="195" spans="6:14">
      <c r="F195" s="199"/>
      <c r="G195" s="199"/>
      <c r="H195" s="199"/>
      <c r="I195" s="199"/>
      <c r="J195" s="199"/>
      <c r="K195" s="199"/>
      <c r="L195" s="199"/>
      <c r="M195" s="199"/>
      <c r="N195" s="199"/>
    </row>
    <row r="196" spans="6:14">
      <c r="F196" s="199"/>
      <c r="G196" s="199"/>
      <c r="H196" s="199"/>
      <c r="I196" s="199"/>
      <c r="J196" s="199"/>
      <c r="K196" s="199"/>
      <c r="L196" s="199"/>
      <c r="M196" s="199"/>
      <c r="N196" s="199"/>
    </row>
    <row r="197" spans="6:14">
      <c r="F197" s="199"/>
      <c r="G197" s="199"/>
      <c r="H197" s="199"/>
      <c r="I197" s="199"/>
      <c r="J197" s="199"/>
      <c r="K197" s="199"/>
      <c r="L197" s="199"/>
      <c r="M197" s="199"/>
      <c r="N197" s="199"/>
    </row>
    <row r="198" spans="6:14">
      <c r="F198" s="199"/>
      <c r="G198" s="199"/>
      <c r="H198" s="199"/>
      <c r="I198" s="199"/>
      <c r="J198" s="199"/>
      <c r="K198" s="199"/>
      <c r="L198" s="199"/>
      <c r="M198" s="199"/>
      <c r="N198" s="199"/>
    </row>
    <row r="199" spans="6:14">
      <c r="F199" s="199"/>
      <c r="G199" s="199"/>
      <c r="H199" s="199"/>
      <c r="I199" s="199"/>
      <c r="J199" s="199"/>
      <c r="K199" s="199"/>
      <c r="L199" s="199"/>
      <c r="M199" s="199"/>
      <c r="N199" s="199"/>
    </row>
    <row r="200" spans="6:14">
      <c r="F200" s="199"/>
      <c r="G200" s="199"/>
      <c r="H200" s="199"/>
      <c r="I200" s="199"/>
      <c r="J200" s="199"/>
      <c r="K200" s="199"/>
      <c r="L200" s="199"/>
      <c r="M200" s="199"/>
      <c r="N200" s="199"/>
    </row>
    <row r="201" spans="6:14">
      <c r="F201" s="199"/>
      <c r="G201" s="199"/>
      <c r="H201" s="199"/>
      <c r="I201" s="199"/>
      <c r="J201" s="199"/>
      <c r="K201" s="199"/>
      <c r="L201" s="199"/>
      <c r="M201" s="199"/>
      <c r="N201" s="199"/>
    </row>
    <row r="202" spans="6:14">
      <c r="F202" s="199"/>
      <c r="G202" s="199"/>
      <c r="H202" s="199"/>
      <c r="I202" s="199"/>
      <c r="J202" s="199"/>
      <c r="K202" s="199"/>
      <c r="L202" s="199"/>
      <c r="M202" s="199"/>
      <c r="N202" s="199"/>
    </row>
    <row r="203" spans="6:14">
      <c r="F203" s="199"/>
      <c r="G203" s="199"/>
      <c r="H203" s="199"/>
      <c r="I203" s="199"/>
      <c r="J203" s="199"/>
      <c r="K203" s="199"/>
      <c r="L203" s="199"/>
      <c r="M203" s="199"/>
      <c r="N203" s="199"/>
    </row>
    <row r="204" spans="6:14">
      <c r="F204" s="199"/>
      <c r="G204" s="199"/>
      <c r="H204" s="199"/>
      <c r="I204" s="199"/>
      <c r="J204" s="199"/>
      <c r="K204" s="199"/>
      <c r="L204" s="199"/>
      <c r="M204" s="199"/>
      <c r="N204" s="199"/>
    </row>
    <row r="205" spans="6:14">
      <c r="F205" s="199"/>
      <c r="G205" s="199"/>
      <c r="H205" s="199"/>
      <c r="I205" s="199"/>
      <c r="J205" s="199"/>
      <c r="K205" s="199"/>
      <c r="L205" s="199"/>
      <c r="M205" s="199"/>
      <c r="N205" s="199"/>
    </row>
    <row r="206" spans="6:14">
      <c r="F206" s="199"/>
      <c r="G206" s="199"/>
      <c r="H206" s="199"/>
      <c r="I206" s="199"/>
      <c r="J206" s="199"/>
      <c r="K206" s="199"/>
      <c r="L206" s="199"/>
      <c r="M206" s="199"/>
      <c r="N206" s="199"/>
    </row>
    <row r="207" spans="6:14">
      <c r="F207" s="199"/>
      <c r="G207" s="199"/>
      <c r="H207" s="199"/>
      <c r="I207" s="199"/>
      <c r="J207" s="199"/>
      <c r="K207" s="199"/>
      <c r="L207" s="199"/>
      <c r="M207" s="199"/>
      <c r="N207" s="199"/>
    </row>
    <row r="208" spans="6:14">
      <c r="F208" s="199"/>
      <c r="G208" s="199"/>
      <c r="H208" s="199"/>
      <c r="I208" s="199"/>
      <c r="J208" s="199"/>
      <c r="K208" s="199"/>
      <c r="L208" s="199"/>
      <c r="M208" s="199"/>
      <c r="N208" s="199"/>
    </row>
    <row r="209" spans="6:14">
      <c r="F209" s="199"/>
      <c r="G209" s="199"/>
      <c r="H209" s="199"/>
      <c r="I209" s="199"/>
      <c r="J209" s="199"/>
      <c r="K209" s="199"/>
      <c r="L209" s="199"/>
      <c r="M209" s="199"/>
      <c r="N209" s="199"/>
    </row>
    <row r="210" spans="6:14">
      <c r="F210" s="199"/>
      <c r="G210" s="199"/>
      <c r="H210" s="199"/>
      <c r="I210" s="199"/>
      <c r="J210" s="199"/>
      <c r="K210" s="199"/>
      <c r="L210" s="199"/>
      <c r="M210" s="199"/>
      <c r="N210" s="199"/>
    </row>
    <row r="211" spans="6:14">
      <c r="F211" s="199"/>
      <c r="G211" s="199"/>
      <c r="H211" s="199"/>
      <c r="I211" s="199"/>
      <c r="J211" s="199"/>
      <c r="K211" s="199"/>
      <c r="L211" s="199"/>
      <c r="M211" s="199"/>
      <c r="N211" s="199"/>
    </row>
    <row r="212" spans="6:14">
      <c r="F212" s="199"/>
      <c r="G212" s="199"/>
      <c r="H212" s="199"/>
      <c r="I212" s="199"/>
      <c r="J212" s="199"/>
      <c r="K212" s="199"/>
      <c r="L212" s="199"/>
      <c r="M212" s="199"/>
      <c r="N212" s="199"/>
    </row>
    <row r="213" spans="6:14">
      <c r="F213" s="199"/>
      <c r="G213" s="199"/>
      <c r="H213" s="199"/>
      <c r="I213" s="199"/>
      <c r="J213" s="199"/>
      <c r="K213" s="199"/>
      <c r="L213" s="199"/>
      <c r="M213" s="199"/>
      <c r="N213" s="199"/>
    </row>
    <row r="214" spans="6:14">
      <c r="F214" s="199"/>
      <c r="G214" s="199"/>
      <c r="H214" s="199"/>
      <c r="I214" s="199"/>
      <c r="J214" s="199"/>
      <c r="K214" s="199"/>
      <c r="L214" s="199"/>
      <c r="M214" s="199"/>
      <c r="N214" s="199"/>
    </row>
    <row r="215" spans="6:14">
      <c r="F215" s="199"/>
      <c r="G215" s="199"/>
      <c r="H215" s="199"/>
      <c r="I215" s="199"/>
      <c r="J215" s="199"/>
      <c r="K215" s="199"/>
      <c r="L215" s="199"/>
      <c r="M215" s="199"/>
      <c r="N215" s="199"/>
    </row>
    <row r="216" spans="6:14">
      <c r="F216" s="199"/>
      <c r="G216" s="199"/>
      <c r="H216" s="199"/>
      <c r="I216" s="199"/>
      <c r="J216" s="199"/>
      <c r="K216" s="199"/>
      <c r="L216" s="199"/>
      <c r="M216" s="199"/>
      <c r="N216" s="199"/>
    </row>
    <row r="217" spans="6:14">
      <c r="F217" s="199"/>
      <c r="G217" s="199"/>
      <c r="H217" s="199"/>
      <c r="I217" s="199"/>
      <c r="J217" s="199"/>
      <c r="K217" s="199"/>
      <c r="L217" s="199"/>
      <c r="M217" s="199"/>
      <c r="N217" s="199"/>
    </row>
    <row r="218" spans="6:14">
      <c r="F218" s="199"/>
      <c r="G218" s="199"/>
      <c r="H218" s="199"/>
      <c r="I218" s="199"/>
      <c r="J218" s="199"/>
      <c r="K218" s="199"/>
      <c r="L218" s="199"/>
      <c r="M218" s="199"/>
      <c r="N218" s="199"/>
    </row>
    <row r="219" spans="6:14">
      <c r="F219" s="199"/>
      <c r="G219" s="199"/>
      <c r="H219" s="199"/>
      <c r="I219" s="199"/>
      <c r="J219" s="199"/>
      <c r="K219" s="199"/>
      <c r="L219" s="199"/>
      <c r="M219" s="199"/>
      <c r="N219" s="199"/>
    </row>
    <row r="220" spans="6:14">
      <c r="F220" s="199"/>
      <c r="G220" s="199"/>
      <c r="H220" s="199"/>
      <c r="I220" s="199"/>
      <c r="J220" s="199"/>
      <c r="K220" s="199"/>
      <c r="L220" s="199"/>
      <c r="M220" s="199"/>
      <c r="N220" s="199"/>
    </row>
    <row r="221" spans="6:14">
      <c r="F221" s="199"/>
      <c r="G221" s="199"/>
      <c r="H221" s="199"/>
      <c r="I221" s="199"/>
      <c r="J221" s="199"/>
      <c r="K221" s="199"/>
      <c r="L221" s="199"/>
      <c r="M221" s="199"/>
      <c r="N221" s="199"/>
    </row>
    <row r="222" spans="6:14">
      <c r="F222" s="199"/>
      <c r="G222" s="199"/>
      <c r="H222" s="199"/>
      <c r="I222" s="199"/>
      <c r="J222" s="199"/>
      <c r="K222" s="199"/>
      <c r="L222" s="199"/>
      <c r="M222" s="199"/>
      <c r="N222" s="199"/>
    </row>
    <row r="223" spans="6:14">
      <c r="F223" s="199"/>
      <c r="G223" s="199"/>
      <c r="H223" s="199"/>
      <c r="I223" s="199"/>
      <c r="J223" s="199"/>
      <c r="K223" s="199"/>
      <c r="L223" s="199"/>
      <c r="M223" s="199"/>
      <c r="N223" s="199"/>
    </row>
    <row r="224" spans="6:14">
      <c r="F224" s="199"/>
      <c r="G224" s="199"/>
      <c r="H224" s="199"/>
      <c r="I224" s="199"/>
      <c r="J224" s="199"/>
      <c r="K224" s="199"/>
      <c r="L224" s="199"/>
      <c r="M224" s="199"/>
      <c r="N224" s="199"/>
    </row>
    <row r="225" spans="6:14">
      <c r="F225" s="199"/>
      <c r="G225" s="199"/>
      <c r="H225" s="199"/>
      <c r="I225" s="199"/>
      <c r="J225" s="199"/>
      <c r="K225" s="199"/>
      <c r="L225" s="199"/>
      <c r="M225" s="199"/>
      <c r="N225" s="199"/>
    </row>
    <row r="226" spans="6:14">
      <c r="F226" s="199"/>
      <c r="G226" s="199"/>
      <c r="H226" s="199"/>
      <c r="I226" s="199"/>
      <c r="J226" s="199"/>
      <c r="K226" s="199"/>
      <c r="L226" s="199"/>
      <c r="M226" s="199"/>
      <c r="N226" s="199"/>
    </row>
    <row r="227" spans="6:14">
      <c r="F227" s="199"/>
      <c r="G227" s="199"/>
      <c r="H227" s="199"/>
      <c r="I227" s="199"/>
      <c r="J227" s="199"/>
      <c r="K227" s="199"/>
      <c r="L227" s="199"/>
      <c r="M227" s="199"/>
      <c r="N227" s="199"/>
    </row>
    <row r="228" spans="6:14">
      <c r="F228" s="199"/>
      <c r="G228" s="199"/>
      <c r="H228" s="199"/>
      <c r="I228" s="199"/>
      <c r="J228" s="199"/>
      <c r="K228" s="199"/>
      <c r="L228" s="199"/>
      <c r="M228" s="199"/>
      <c r="N228" s="199"/>
    </row>
    <row r="229" spans="6:14">
      <c r="F229" s="199"/>
      <c r="G229" s="199"/>
      <c r="H229" s="199"/>
      <c r="I229" s="199"/>
      <c r="J229" s="199"/>
      <c r="K229" s="199"/>
      <c r="L229" s="199"/>
      <c r="M229" s="199"/>
      <c r="N229" s="199"/>
    </row>
    <row r="230" spans="6:14">
      <c r="F230" s="199"/>
      <c r="G230" s="199"/>
      <c r="H230" s="199"/>
      <c r="I230" s="199"/>
      <c r="J230" s="199"/>
      <c r="K230" s="199"/>
      <c r="L230" s="199"/>
      <c r="M230" s="199"/>
      <c r="N230" s="199"/>
    </row>
    <row r="231" spans="6:14">
      <c r="F231" s="199"/>
      <c r="G231" s="199"/>
      <c r="H231" s="199"/>
      <c r="I231" s="199"/>
      <c r="J231" s="199"/>
      <c r="K231" s="199"/>
      <c r="L231" s="199"/>
      <c r="M231" s="199"/>
      <c r="N231" s="199"/>
    </row>
    <row r="232" spans="6:14">
      <c r="F232" s="199"/>
      <c r="G232" s="199"/>
      <c r="H232" s="199"/>
      <c r="I232" s="199"/>
      <c r="J232" s="199"/>
      <c r="K232" s="199"/>
      <c r="L232" s="199"/>
      <c r="M232" s="199"/>
      <c r="N232" s="199"/>
    </row>
    <row r="233" spans="6:14">
      <c r="F233" s="199"/>
      <c r="G233" s="199"/>
      <c r="H233" s="199"/>
      <c r="I233" s="199"/>
      <c r="J233" s="199"/>
      <c r="K233" s="199"/>
      <c r="L233" s="199"/>
      <c r="M233" s="199"/>
      <c r="N233" s="199"/>
    </row>
    <row r="234" spans="6:14">
      <c r="F234" s="199"/>
      <c r="G234" s="199"/>
      <c r="H234" s="199"/>
      <c r="I234" s="199"/>
      <c r="J234" s="199"/>
      <c r="K234" s="199"/>
      <c r="L234" s="199"/>
      <c r="M234" s="199"/>
      <c r="N234" s="199"/>
    </row>
    <row r="235" spans="6:14">
      <c r="F235" s="199"/>
      <c r="G235" s="199"/>
      <c r="H235" s="199"/>
      <c r="I235" s="199"/>
      <c r="J235" s="199"/>
      <c r="K235" s="199"/>
      <c r="L235" s="199"/>
      <c r="M235" s="199"/>
      <c r="N235" s="199"/>
    </row>
    <row r="236" spans="6:14">
      <c r="F236" s="199"/>
      <c r="G236" s="199"/>
      <c r="H236" s="199"/>
      <c r="I236" s="199"/>
      <c r="J236" s="199"/>
      <c r="K236" s="199"/>
      <c r="L236" s="199"/>
      <c r="M236" s="199"/>
      <c r="N236" s="199"/>
    </row>
    <row r="237" spans="6:14">
      <c r="F237" s="199"/>
      <c r="G237" s="199"/>
      <c r="H237" s="199"/>
      <c r="I237" s="199"/>
      <c r="J237" s="199"/>
      <c r="K237" s="199"/>
      <c r="L237" s="199"/>
      <c r="M237" s="199"/>
      <c r="N237" s="199"/>
    </row>
    <row r="238" spans="6:14">
      <c r="F238" s="199"/>
      <c r="G238" s="199"/>
      <c r="H238" s="199"/>
      <c r="I238" s="199"/>
      <c r="J238" s="199"/>
      <c r="K238" s="199"/>
      <c r="L238" s="199"/>
      <c r="M238" s="199"/>
      <c r="N238" s="199"/>
    </row>
    <row r="239" spans="6:14">
      <c r="F239" s="199"/>
      <c r="G239" s="199"/>
      <c r="H239" s="199"/>
      <c r="I239" s="199"/>
      <c r="J239" s="199"/>
      <c r="K239" s="199"/>
      <c r="L239" s="199"/>
      <c r="M239" s="199"/>
      <c r="N239" s="199"/>
    </row>
    <row r="240" spans="6:14">
      <c r="F240" s="199"/>
      <c r="G240" s="199"/>
      <c r="H240" s="199"/>
      <c r="I240" s="199"/>
      <c r="J240" s="199"/>
      <c r="K240" s="199"/>
      <c r="L240" s="199"/>
      <c r="M240" s="199"/>
      <c r="N240" s="199"/>
    </row>
    <row r="241" spans="6:14">
      <c r="F241" s="199"/>
      <c r="G241" s="199"/>
      <c r="H241" s="199"/>
      <c r="I241" s="199"/>
      <c r="J241" s="199"/>
      <c r="K241" s="199"/>
      <c r="L241" s="199"/>
      <c r="M241" s="199"/>
      <c r="N241" s="199"/>
    </row>
    <row r="242" spans="6:14">
      <c r="F242" s="199"/>
      <c r="G242" s="199"/>
      <c r="H242" s="199"/>
      <c r="I242" s="199"/>
      <c r="J242" s="199"/>
      <c r="K242" s="199"/>
      <c r="L242" s="199"/>
      <c r="M242" s="199"/>
      <c r="N242" s="199"/>
    </row>
    <row r="243" spans="6:14">
      <c r="F243" s="199"/>
      <c r="G243" s="199"/>
      <c r="H243" s="199"/>
      <c r="I243" s="199"/>
      <c r="J243" s="199"/>
      <c r="K243" s="199"/>
      <c r="L243" s="199"/>
      <c r="M243" s="199"/>
      <c r="N243" s="199"/>
    </row>
    <row r="244" spans="6:14">
      <c r="F244" s="199"/>
      <c r="G244" s="199"/>
      <c r="H244" s="199"/>
      <c r="I244" s="199"/>
      <c r="J244" s="199"/>
      <c r="K244" s="199"/>
      <c r="L244" s="199"/>
      <c r="M244" s="199"/>
      <c r="N244" s="199"/>
    </row>
    <row r="245" spans="6:14">
      <c r="F245" s="199"/>
      <c r="G245" s="199"/>
      <c r="H245" s="199"/>
      <c r="I245" s="199"/>
      <c r="J245" s="199"/>
      <c r="K245" s="199"/>
      <c r="L245" s="199"/>
      <c r="M245" s="199"/>
      <c r="N245" s="199"/>
    </row>
    <row r="246" spans="6:14">
      <c r="F246" s="199"/>
      <c r="G246" s="199"/>
      <c r="H246" s="199"/>
      <c r="I246" s="199"/>
      <c r="J246" s="199"/>
      <c r="K246" s="199"/>
      <c r="L246" s="199"/>
      <c r="M246" s="199"/>
      <c r="N246" s="199"/>
    </row>
    <row r="247" spans="6:14">
      <c r="F247" s="199"/>
      <c r="G247" s="199"/>
      <c r="H247" s="199"/>
      <c r="I247" s="199"/>
      <c r="J247" s="199"/>
      <c r="K247" s="199"/>
      <c r="L247" s="199"/>
      <c r="M247" s="199"/>
      <c r="N247" s="199"/>
    </row>
    <row r="248" spans="6:14">
      <c r="F248" s="199"/>
      <c r="G248" s="199"/>
      <c r="H248" s="199"/>
      <c r="I248" s="199"/>
      <c r="J248" s="199"/>
      <c r="K248" s="199"/>
      <c r="L248" s="199"/>
      <c r="M248" s="199"/>
      <c r="N248" s="199"/>
    </row>
    <row r="249" spans="6:14">
      <c r="F249" s="199"/>
      <c r="G249" s="199"/>
      <c r="H249" s="199"/>
      <c r="I249" s="199"/>
      <c r="J249" s="199"/>
      <c r="K249" s="199"/>
      <c r="L249" s="199"/>
      <c r="M249" s="199"/>
      <c r="N249" s="199"/>
    </row>
    <row r="250" spans="6:14">
      <c r="F250" s="199"/>
      <c r="G250" s="199"/>
      <c r="H250" s="199"/>
      <c r="I250" s="199"/>
      <c r="J250" s="199"/>
      <c r="K250" s="199"/>
      <c r="L250" s="199"/>
      <c r="M250" s="199"/>
      <c r="N250" s="199"/>
    </row>
    <row r="251" spans="6:14">
      <c r="F251" s="199"/>
      <c r="G251" s="199"/>
      <c r="H251" s="199"/>
      <c r="I251" s="199"/>
      <c r="J251" s="199"/>
      <c r="K251" s="199"/>
      <c r="L251" s="199"/>
      <c r="M251" s="199"/>
      <c r="N251" s="199"/>
    </row>
    <row r="252" spans="6:14">
      <c r="F252" s="199"/>
      <c r="G252" s="199"/>
      <c r="H252" s="199"/>
      <c r="I252" s="199"/>
      <c r="J252" s="199"/>
      <c r="K252" s="199"/>
      <c r="L252" s="199"/>
      <c r="M252" s="199"/>
      <c r="N252" s="199"/>
    </row>
    <row r="253" spans="6:14">
      <c r="F253" s="199"/>
      <c r="G253" s="199"/>
      <c r="H253" s="199"/>
      <c r="I253" s="199"/>
      <c r="J253" s="199"/>
      <c r="K253" s="199"/>
      <c r="L253" s="199"/>
      <c r="M253" s="199"/>
      <c r="N253" s="199"/>
    </row>
    <row r="254" spans="6:14">
      <c r="F254" s="199"/>
      <c r="G254" s="199"/>
      <c r="H254" s="199"/>
      <c r="I254" s="199"/>
      <c r="J254" s="199"/>
      <c r="K254" s="199"/>
      <c r="L254" s="199"/>
      <c r="M254" s="199"/>
      <c r="N254" s="199"/>
    </row>
    <row r="255" spans="6:14">
      <c r="F255" s="199"/>
      <c r="G255" s="199"/>
      <c r="H255" s="199"/>
      <c r="I255" s="199"/>
      <c r="J255" s="199"/>
      <c r="K255" s="199"/>
      <c r="L255" s="199"/>
      <c r="M255" s="199"/>
      <c r="N255" s="199"/>
    </row>
    <row r="256" spans="6:14">
      <c r="F256" s="199"/>
      <c r="G256" s="199"/>
      <c r="H256" s="199"/>
      <c r="I256" s="199"/>
      <c r="J256" s="199"/>
      <c r="K256" s="199"/>
      <c r="L256" s="199"/>
      <c r="M256" s="199"/>
      <c r="N256" s="199"/>
    </row>
    <row r="257" spans="6:14">
      <c r="F257" s="199"/>
      <c r="G257" s="199"/>
      <c r="H257" s="199"/>
      <c r="I257" s="199"/>
      <c r="J257" s="199"/>
      <c r="K257" s="199"/>
      <c r="L257" s="199"/>
      <c r="M257" s="199"/>
      <c r="N257" s="199"/>
    </row>
    <row r="258" spans="6:14">
      <c r="F258" s="199"/>
      <c r="G258" s="199"/>
      <c r="H258" s="199"/>
      <c r="I258" s="199"/>
      <c r="J258" s="199"/>
      <c r="K258" s="199"/>
      <c r="L258" s="199"/>
      <c r="M258" s="199"/>
      <c r="N258" s="199"/>
    </row>
    <row r="259" spans="6:14">
      <c r="F259" s="199"/>
      <c r="G259" s="199"/>
      <c r="H259" s="199"/>
      <c r="I259" s="199"/>
      <c r="J259" s="199"/>
      <c r="K259" s="199"/>
      <c r="L259" s="199"/>
      <c r="M259" s="199"/>
      <c r="N259" s="199"/>
    </row>
    <row r="260" spans="6:14">
      <c r="F260" s="199"/>
      <c r="G260" s="199"/>
      <c r="H260" s="199"/>
      <c r="I260" s="199"/>
      <c r="J260" s="199"/>
      <c r="K260" s="199"/>
      <c r="L260" s="199"/>
      <c r="M260" s="199"/>
      <c r="N260" s="199"/>
    </row>
    <row r="261" spans="6:14">
      <c r="F261" s="199"/>
      <c r="G261" s="199"/>
      <c r="H261" s="199"/>
      <c r="I261" s="199"/>
      <c r="J261" s="199"/>
      <c r="K261" s="199"/>
      <c r="L261" s="199"/>
      <c r="M261" s="199"/>
      <c r="N261" s="199"/>
    </row>
    <row r="262" spans="6:14">
      <c r="F262" s="199"/>
      <c r="G262" s="199"/>
      <c r="H262" s="199"/>
      <c r="I262" s="199"/>
      <c r="J262" s="199"/>
      <c r="K262" s="199"/>
      <c r="L262" s="199"/>
      <c r="M262" s="199"/>
      <c r="N262" s="199"/>
    </row>
    <row r="263" spans="6:14">
      <c r="F263" s="199"/>
      <c r="G263" s="199"/>
      <c r="H263" s="199"/>
      <c r="I263" s="199"/>
      <c r="J263" s="199"/>
      <c r="K263" s="199"/>
      <c r="L263" s="199"/>
      <c r="M263" s="199"/>
      <c r="N263" s="199"/>
    </row>
    <row r="264" spans="6:14">
      <c r="F264" s="199"/>
      <c r="G264" s="199"/>
      <c r="H264" s="199"/>
      <c r="I264" s="199"/>
      <c r="J264" s="199"/>
      <c r="K264" s="199"/>
      <c r="L264" s="199"/>
      <c r="M264" s="199"/>
      <c r="N264" s="199"/>
    </row>
    <row r="265" spans="6:14">
      <c r="F265" s="199"/>
      <c r="G265" s="199"/>
      <c r="H265" s="199"/>
      <c r="I265" s="199"/>
      <c r="J265" s="199"/>
      <c r="K265" s="199"/>
      <c r="L265" s="199"/>
      <c r="M265" s="199"/>
      <c r="N265" s="199"/>
    </row>
    <row r="266" spans="6:14">
      <c r="F266" s="199"/>
      <c r="G266" s="199"/>
      <c r="H266" s="199"/>
      <c r="I266" s="199"/>
      <c r="J266" s="199"/>
      <c r="K266" s="199"/>
      <c r="L266" s="199"/>
      <c r="M266" s="199"/>
      <c r="N266" s="199"/>
    </row>
    <row r="267" spans="6:14">
      <c r="F267" s="199"/>
      <c r="G267" s="199"/>
      <c r="H267" s="199"/>
      <c r="I267" s="199"/>
      <c r="J267" s="199"/>
      <c r="K267" s="199"/>
      <c r="L267" s="199"/>
      <c r="M267" s="199"/>
      <c r="N267" s="199"/>
    </row>
    <row r="268" spans="6:14">
      <c r="F268" s="199"/>
      <c r="G268" s="199"/>
      <c r="H268" s="199"/>
      <c r="I268" s="199"/>
      <c r="J268" s="199"/>
      <c r="K268" s="199"/>
      <c r="L268" s="199"/>
      <c r="M268" s="199"/>
      <c r="N268" s="199"/>
    </row>
    <row r="269" spans="6:14">
      <c r="F269" s="199"/>
      <c r="G269" s="199"/>
      <c r="H269" s="199"/>
      <c r="I269" s="199"/>
      <c r="J269" s="199"/>
      <c r="K269" s="199"/>
      <c r="L269" s="199"/>
      <c r="M269" s="199"/>
      <c r="N269" s="199"/>
    </row>
    <row r="270" spans="6:14">
      <c r="F270" s="199"/>
      <c r="G270" s="199"/>
      <c r="H270" s="199"/>
      <c r="I270" s="199"/>
      <c r="J270" s="199"/>
      <c r="K270" s="199"/>
      <c r="L270" s="199"/>
      <c r="M270" s="199"/>
      <c r="N270" s="199"/>
    </row>
    <row r="271" spans="6:14">
      <c r="F271" s="199"/>
      <c r="G271" s="199"/>
      <c r="H271" s="199"/>
      <c r="I271" s="199"/>
      <c r="J271" s="199"/>
      <c r="K271" s="199"/>
      <c r="L271" s="199"/>
      <c r="M271" s="199"/>
      <c r="N271" s="199"/>
    </row>
    <row r="272" spans="6:14">
      <c r="F272" s="199"/>
      <c r="G272" s="199"/>
      <c r="H272" s="199"/>
      <c r="I272" s="199"/>
      <c r="J272" s="199"/>
      <c r="K272" s="199"/>
      <c r="L272" s="199"/>
      <c r="M272" s="199"/>
      <c r="N272" s="199"/>
    </row>
    <row r="273" spans="6:14">
      <c r="F273" s="199"/>
      <c r="G273" s="199"/>
      <c r="H273" s="199"/>
      <c r="I273" s="199"/>
      <c r="J273" s="199"/>
      <c r="K273" s="199"/>
      <c r="L273" s="199"/>
      <c r="M273" s="199"/>
      <c r="N273" s="199"/>
    </row>
    <row r="274" spans="6:14">
      <c r="F274" s="199"/>
      <c r="G274" s="199"/>
      <c r="H274" s="199"/>
      <c r="I274" s="199"/>
      <c r="J274" s="199"/>
      <c r="K274" s="199"/>
      <c r="L274" s="199"/>
      <c r="M274" s="199"/>
      <c r="N274" s="199"/>
    </row>
    <row r="275" spans="6:14">
      <c r="F275" s="199"/>
      <c r="G275" s="199"/>
      <c r="H275" s="199"/>
      <c r="I275" s="199"/>
      <c r="J275" s="199"/>
      <c r="K275" s="199"/>
      <c r="L275" s="199"/>
      <c r="M275" s="199"/>
      <c r="N275" s="199"/>
    </row>
    <row r="276" spans="6:14">
      <c r="F276" s="199"/>
      <c r="G276" s="199"/>
      <c r="H276" s="199"/>
      <c r="I276" s="199"/>
      <c r="J276" s="199"/>
      <c r="K276" s="199"/>
      <c r="L276" s="199"/>
      <c r="M276" s="199"/>
      <c r="N276" s="199"/>
    </row>
    <row r="277" spans="6:14">
      <c r="F277" s="199"/>
      <c r="G277" s="199"/>
      <c r="H277" s="199"/>
      <c r="I277" s="199"/>
      <c r="J277" s="199"/>
      <c r="K277" s="199"/>
      <c r="L277" s="199"/>
      <c r="M277" s="199"/>
      <c r="N277" s="199"/>
    </row>
    <row r="278" spans="6:14">
      <c r="F278" s="199"/>
      <c r="G278" s="199"/>
      <c r="H278" s="199"/>
      <c r="I278" s="199"/>
      <c r="J278" s="199"/>
      <c r="K278" s="199"/>
      <c r="L278" s="199"/>
      <c r="M278" s="199"/>
      <c r="N278" s="199"/>
    </row>
    <row r="279" spans="6:14">
      <c r="F279" s="199"/>
      <c r="G279" s="199"/>
      <c r="H279" s="199"/>
      <c r="I279" s="199"/>
      <c r="J279" s="199"/>
      <c r="K279" s="199"/>
      <c r="L279" s="199"/>
      <c r="M279" s="199"/>
      <c r="N279" s="199"/>
    </row>
    <row r="280" spans="6:14">
      <c r="F280" s="199"/>
      <c r="G280" s="199"/>
      <c r="H280" s="199"/>
      <c r="I280" s="199"/>
      <c r="J280" s="199"/>
      <c r="K280" s="199"/>
      <c r="L280" s="199"/>
      <c r="M280" s="199"/>
      <c r="N280" s="199"/>
    </row>
    <row r="281" spans="6:14">
      <c r="F281" s="199"/>
      <c r="G281" s="199"/>
      <c r="H281" s="199"/>
      <c r="I281" s="199"/>
      <c r="J281" s="199"/>
      <c r="K281" s="199"/>
      <c r="L281" s="199"/>
      <c r="M281" s="199"/>
      <c r="N281" s="199"/>
    </row>
    <row r="282" spans="6:14">
      <c r="F282" s="199"/>
      <c r="G282" s="199"/>
      <c r="H282" s="199"/>
      <c r="I282" s="199"/>
      <c r="J282" s="199"/>
      <c r="K282" s="199"/>
      <c r="L282" s="199"/>
      <c r="M282" s="199"/>
      <c r="N282" s="199"/>
    </row>
    <row r="283" spans="6:14">
      <c r="F283" s="199"/>
      <c r="G283" s="199"/>
      <c r="H283" s="199"/>
      <c r="I283" s="199"/>
      <c r="J283" s="199"/>
      <c r="K283" s="199"/>
      <c r="L283" s="199"/>
      <c r="M283" s="199"/>
      <c r="N283" s="199"/>
    </row>
    <row r="284" spans="6:14">
      <c r="F284" s="199"/>
      <c r="G284" s="199"/>
      <c r="H284" s="199"/>
      <c r="I284" s="199"/>
      <c r="J284" s="199"/>
      <c r="K284" s="199"/>
      <c r="L284" s="199"/>
      <c r="M284" s="199"/>
      <c r="N284" s="199"/>
    </row>
    <row r="285" spans="6:14">
      <c r="F285" s="199"/>
      <c r="G285" s="199"/>
      <c r="H285" s="199"/>
      <c r="I285" s="199"/>
      <c r="J285" s="199"/>
      <c r="K285" s="199"/>
      <c r="L285" s="199"/>
      <c r="M285" s="199"/>
      <c r="N285" s="199"/>
    </row>
    <row r="286" spans="6:14">
      <c r="F286" s="199"/>
      <c r="G286" s="199"/>
      <c r="H286" s="199"/>
      <c r="I286" s="199"/>
      <c r="J286" s="199"/>
      <c r="K286" s="199"/>
      <c r="L286" s="199"/>
      <c r="M286" s="199"/>
      <c r="N286" s="199"/>
    </row>
    <row r="287" spans="6:14">
      <c r="F287" s="199"/>
      <c r="G287" s="199"/>
      <c r="H287" s="199"/>
      <c r="I287" s="199"/>
      <c r="J287" s="199"/>
      <c r="K287" s="199"/>
      <c r="L287" s="199"/>
      <c r="M287" s="199"/>
      <c r="N287" s="199"/>
    </row>
    <row r="288" spans="6:14">
      <c r="F288" s="199"/>
      <c r="G288" s="199"/>
      <c r="H288" s="199"/>
      <c r="I288" s="199"/>
      <c r="J288" s="199"/>
      <c r="K288" s="199"/>
      <c r="L288" s="199"/>
      <c r="M288" s="199"/>
      <c r="N288" s="199"/>
    </row>
    <row r="289" spans="6:14">
      <c r="F289" s="199"/>
      <c r="G289" s="199"/>
      <c r="H289" s="199"/>
      <c r="I289" s="199"/>
      <c r="J289" s="199"/>
      <c r="K289" s="199"/>
      <c r="L289" s="199"/>
      <c r="M289" s="199"/>
      <c r="N289" s="199"/>
    </row>
    <row r="290" spans="6:14">
      <c r="F290" s="199"/>
      <c r="G290" s="199"/>
      <c r="H290" s="199"/>
      <c r="I290" s="199"/>
      <c r="J290" s="199"/>
      <c r="K290" s="199"/>
      <c r="L290" s="199"/>
      <c r="M290" s="199"/>
      <c r="N290" s="199"/>
    </row>
    <row r="291" spans="6:14">
      <c r="F291" s="199"/>
      <c r="G291" s="199"/>
      <c r="H291" s="199"/>
      <c r="I291" s="199"/>
      <c r="J291" s="199"/>
      <c r="K291" s="199"/>
      <c r="L291" s="199"/>
      <c r="M291" s="199"/>
      <c r="N291" s="199"/>
    </row>
    <row r="292" spans="6:14">
      <c r="F292" s="199"/>
      <c r="G292" s="199"/>
      <c r="H292" s="199"/>
      <c r="I292" s="199"/>
      <c r="J292" s="199"/>
      <c r="K292" s="199"/>
      <c r="L292" s="199"/>
      <c r="M292" s="199"/>
      <c r="N292" s="199"/>
    </row>
    <row r="293" spans="6:14">
      <c r="F293" s="199"/>
      <c r="G293" s="199"/>
      <c r="H293" s="199"/>
      <c r="I293" s="199"/>
      <c r="J293" s="199"/>
      <c r="K293" s="199"/>
      <c r="L293" s="199"/>
      <c r="M293" s="199"/>
      <c r="N293" s="199"/>
    </row>
    <row r="294" spans="6:14">
      <c r="F294" s="199"/>
      <c r="G294" s="199"/>
      <c r="H294" s="199"/>
      <c r="I294" s="199"/>
      <c r="J294" s="199"/>
      <c r="K294" s="199"/>
      <c r="L294" s="199"/>
      <c r="M294" s="199"/>
      <c r="N294" s="199"/>
    </row>
    <row r="295" spans="6:14">
      <c r="F295" s="199"/>
      <c r="G295" s="199"/>
      <c r="H295" s="199"/>
      <c r="I295" s="199"/>
      <c r="J295" s="199"/>
      <c r="K295" s="199"/>
      <c r="L295" s="199"/>
      <c r="M295" s="199"/>
      <c r="N295" s="199"/>
    </row>
    <row r="296" spans="6:14">
      <c r="F296" s="199"/>
      <c r="G296" s="199"/>
      <c r="H296" s="199"/>
      <c r="I296" s="199"/>
      <c r="J296" s="199"/>
      <c r="K296" s="199"/>
      <c r="L296" s="199"/>
      <c r="M296" s="199"/>
      <c r="N296" s="199"/>
    </row>
    <row r="297" spans="6:14">
      <c r="F297" s="199"/>
      <c r="G297" s="199"/>
      <c r="H297" s="199"/>
      <c r="I297" s="199"/>
      <c r="J297" s="199"/>
      <c r="K297" s="199"/>
      <c r="L297" s="199"/>
      <c r="M297" s="199"/>
      <c r="N297" s="199"/>
    </row>
    <row r="298" spans="6:14">
      <c r="F298" s="199"/>
      <c r="G298" s="199"/>
      <c r="H298" s="199"/>
      <c r="I298" s="199"/>
      <c r="J298" s="199"/>
      <c r="K298" s="199"/>
      <c r="L298" s="199"/>
      <c r="M298" s="199"/>
      <c r="N298" s="199"/>
    </row>
    <row r="299" spans="6:14">
      <c r="F299" s="199"/>
      <c r="G299" s="199"/>
      <c r="H299" s="199"/>
      <c r="I299" s="199"/>
      <c r="J299" s="199"/>
      <c r="K299" s="199"/>
      <c r="L299" s="199"/>
      <c r="M299" s="199"/>
      <c r="N299" s="199"/>
    </row>
    <row r="300" spans="6:14">
      <c r="F300" s="199"/>
      <c r="G300" s="199"/>
      <c r="H300" s="199"/>
      <c r="I300" s="199"/>
      <c r="J300" s="199"/>
      <c r="K300" s="199"/>
      <c r="L300" s="199"/>
      <c r="M300" s="199"/>
      <c r="N300" s="199"/>
    </row>
    <row r="301" spans="6:14">
      <c r="F301" s="199"/>
      <c r="G301" s="199"/>
      <c r="H301" s="199"/>
      <c r="I301" s="199"/>
      <c r="J301" s="199"/>
      <c r="K301" s="199"/>
      <c r="L301" s="199"/>
      <c r="M301" s="199"/>
      <c r="N301" s="199"/>
    </row>
    <row r="302" spans="6:14">
      <c r="F302" s="199"/>
      <c r="G302" s="199"/>
      <c r="H302" s="199"/>
      <c r="I302" s="199"/>
      <c r="J302" s="199"/>
      <c r="K302" s="199"/>
      <c r="L302" s="199"/>
      <c r="M302" s="199"/>
      <c r="N302" s="199"/>
    </row>
    <row r="303" spans="6:14">
      <c r="F303" s="199"/>
      <c r="G303" s="199"/>
      <c r="H303" s="199"/>
      <c r="I303" s="199"/>
      <c r="J303" s="199"/>
      <c r="K303" s="199"/>
      <c r="L303" s="199"/>
      <c r="M303" s="199"/>
      <c r="N303" s="199"/>
    </row>
    <row r="304" spans="6:14">
      <c r="F304" s="199"/>
      <c r="G304" s="199"/>
      <c r="H304" s="199"/>
      <c r="I304" s="199"/>
      <c r="J304" s="199"/>
      <c r="K304" s="199"/>
      <c r="L304" s="199"/>
      <c r="M304" s="199"/>
      <c r="N304" s="199"/>
    </row>
    <row r="305" spans="6:14">
      <c r="F305" s="199"/>
      <c r="G305" s="199"/>
      <c r="H305" s="199"/>
      <c r="I305" s="199"/>
      <c r="J305" s="199"/>
      <c r="K305" s="199"/>
      <c r="L305" s="199"/>
      <c r="M305" s="199"/>
      <c r="N305" s="199"/>
    </row>
    <row r="306" spans="6:14">
      <c r="F306" s="199"/>
      <c r="G306" s="199"/>
      <c r="H306" s="199"/>
      <c r="I306" s="199"/>
      <c r="J306" s="199"/>
      <c r="K306" s="199"/>
      <c r="L306" s="199"/>
      <c r="M306" s="199"/>
      <c r="N306" s="199"/>
    </row>
    <row r="307" spans="6:14">
      <c r="F307" s="199"/>
      <c r="G307" s="199"/>
      <c r="H307" s="199"/>
      <c r="I307" s="199"/>
      <c r="J307" s="199"/>
      <c r="K307" s="199"/>
      <c r="L307" s="199"/>
      <c r="M307" s="199"/>
      <c r="N307" s="199"/>
    </row>
    <row r="308" spans="6:14">
      <c r="F308" s="199"/>
      <c r="G308" s="199"/>
      <c r="H308" s="199"/>
      <c r="I308" s="199"/>
      <c r="J308" s="199"/>
      <c r="K308" s="199"/>
      <c r="L308" s="199"/>
      <c r="M308" s="199"/>
      <c r="N308" s="199"/>
    </row>
    <row r="309" spans="6:14">
      <c r="F309" s="199"/>
      <c r="G309" s="199"/>
      <c r="H309" s="199"/>
      <c r="I309" s="199"/>
      <c r="J309" s="199"/>
      <c r="K309" s="199"/>
      <c r="L309" s="199"/>
      <c r="M309" s="199"/>
      <c r="N309" s="199"/>
    </row>
    <row r="310" spans="6:14">
      <c r="F310" s="199"/>
      <c r="G310" s="199"/>
      <c r="H310" s="199"/>
      <c r="I310" s="199"/>
      <c r="J310" s="199"/>
      <c r="K310" s="199"/>
      <c r="L310" s="199"/>
      <c r="M310" s="199"/>
      <c r="N310" s="199"/>
    </row>
    <row r="311" spans="6:14">
      <c r="F311" s="199"/>
      <c r="G311" s="199"/>
      <c r="H311" s="199"/>
      <c r="I311" s="199"/>
      <c r="J311" s="199"/>
      <c r="K311" s="199"/>
      <c r="L311" s="199"/>
      <c r="M311" s="199"/>
      <c r="N311" s="199"/>
    </row>
    <row r="312" spans="6:14">
      <c r="F312" s="199"/>
      <c r="G312" s="199"/>
      <c r="H312" s="199"/>
      <c r="I312" s="199"/>
      <c r="J312" s="199"/>
      <c r="K312" s="199"/>
      <c r="L312" s="199"/>
      <c r="M312" s="199"/>
      <c r="N312" s="199"/>
    </row>
    <row r="313" spans="6:14">
      <c r="F313" s="199"/>
      <c r="G313" s="199"/>
      <c r="H313" s="199"/>
      <c r="I313" s="199"/>
      <c r="J313" s="199"/>
      <c r="K313" s="199"/>
      <c r="L313" s="199"/>
      <c r="M313" s="199"/>
      <c r="N313" s="199"/>
    </row>
    <row r="314" spans="6:14">
      <c r="F314" s="199"/>
      <c r="G314" s="199"/>
      <c r="H314" s="199"/>
      <c r="I314" s="199"/>
      <c r="J314" s="199"/>
      <c r="K314" s="199"/>
      <c r="L314" s="199"/>
      <c r="M314" s="199"/>
      <c r="N314" s="199"/>
    </row>
    <row r="315" spans="6:14">
      <c r="F315" s="199"/>
      <c r="G315" s="199"/>
      <c r="H315" s="199"/>
      <c r="I315" s="199"/>
      <c r="J315" s="199"/>
      <c r="K315" s="199"/>
      <c r="L315" s="199"/>
      <c r="M315" s="199"/>
      <c r="N315" s="199"/>
    </row>
    <row r="316" spans="6:14">
      <c r="F316" s="199"/>
      <c r="G316" s="199"/>
      <c r="H316" s="199"/>
      <c r="I316" s="199"/>
      <c r="J316" s="199"/>
      <c r="K316" s="199"/>
      <c r="L316" s="199"/>
      <c r="M316" s="199"/>
      <c r="N316" s="199"/>
    </row>
    <row r="317" spans="6:14">
      <c r="F317" s="199"/>
      <c r="G317" s="199"/>
      <c r="H317" s="199"/>
      <c r="I317" s="199"/>
      <c r="J317" s="199"/>
      <c r="K317" s="199"/>
      <c r="L317" s="199"/>
      <c r="M317" s="199"/>
      <c r="N317" s="199"/>
    </row>
    <row r="318" spans="6:14">
      <c r="F318" s="199"/>
      <c r="G318" s="199"/>
      <c r="H318" s="199"/>
      <c r="I318" s="199"/>
      <c r="J318" s="199"/>
      <c r="K318" s="199"/>
      <c r="L318" s="199"/>
      <c r="M318" s="199"/>
      <c r="N318" s="199"/>
    </row>
    <row r="319" spans="6:14">
      <c r="F319" s="199"/>
      <c r="G319" s="199"/>
      <c r="H319" s="199"/>
      <c r="I319" s="199"/>
      <c r="J319" s="199"/>
      <c r="K319" s="199"/>
      <c r="L319" s="199"/>
      <c r="M319" s="199"/>
      <c r="N319" s="199"/>
    </row>
    <row r="320" spans="6:14">
      <c r="F320" s="199"/>
      <c r="G320" s="199"/>
      <c r="H320" s="199"/>
      <c r="I320" s="199"/>
      <c r="J320" s="199"/>
      <c r="K320" s="199"/>
      <c r="L320" s="199"/>
      <c r="M320" s="199"/>
      <c r="N320" s="199"/>
    </row>
    <row r="321" spans="6:14">
      <c r="F321" s="199"/>
      <c r="G321" s="199"/>
      <c r="H321" s="199"/>
      <c r="I321" s="199"/>
      <c r="J321" s="199"/>
      <c r="K321" s="199"/>
      <c r="L321" s="199"/>
      <c r="M321" s="199"/>
      <c r="N321" s="199"/>
    </row>
    <row r="322" spans="6:14">
      <c r="F322" s="199"/>
      <c r="G322" s="199"/>
      <c r="H322" s="199"/>
      <c r="I322" s="199"/>
      <c r="J322" s="199"/>
      <c r="K322" s="199"/>
      <c r="L322" s="199"/>
      <c r="M322" s="199"/>
      <c r="N322" s="199"/>
    </row>
    <row r="323" spans="6:14">
      <c r="F323" s="199"/>
      <c r="G323" s="199"/>
      <c r="H323" s="199"/>
      <c r="I323" s="199"/>
      <c r="J323" s="199"/>
      <c r="K323" s="199"/>
      <c r="L323" s="199"/>
      <c r="M323" s="199"/>
      <c r="N323" s="199"/>
    </row>
    <row r="324" spans="6:14">
      <c r="F324" s="199"/>
      <c r="G324" s="199"/>
      <c r="H324" s="199"/>
      <c r="I324" s="199"/>
      <c r="J324" s="199"/>
      <c r="K324" s="199"/>
      <c r="L324" s="199"/>
      <c r="M324" s="199"/>
      <c r="N324" s="199"/>
    </row>
    <row r="325" spans="6:14">
      <c r="F325" s="199"/>
      <c r="G325" s="199"/>
      <c r="H325" s="199"/>
      <c r="I325" s="199"/>
      <c r="J325" s="199"/>
      <c r="K325" s="199"/>
      <c r="L325" s="199"/>
      <c r="M325" s="199"/>
      <c r="N325" s="199"/>
    </row>
    <row r="326" spans="6:14">
      <c r="F326" s="199"/>
      <c r="G326" s="199"/>
      <c r="H326" s="199"/>
      <c r="I326" s="199"/>
      <c r="J326" s="199"/>
      <c r="K326" s="199"/>
      <c r="L326" s="199"/>
      <c r="M326" s="199"/>
      <c r="N326" s="199"/>
    </row>
    <row r="327" spans="6:14">
      <c r="F327" s="199"/>
      <c r="G327" s="199"/>
      <c r="H327" s="199"/>
      <c r="I327" s="199"/>
      <c r="J327" s="199"/>
      <c r="K327" s="199"/>
      <c r="L327" s="199"/>
      <c r="M327" s="199"/>
      <c r="N327" s="199"/>
    </row>
    <row r="328" spans="6:14">
      <c r="F328" s="199"/>
      <c r="G328" s="199"/>
      <c r="H328" s="199"/>
      <c r="I328" s="199"/>
      <c r="J328" s="199"/>
      <c r="K328" s="199"/>
      <c r="L328" s="199"/>
      <c r="M328" s="199"/>
      <c r="N328" s="199"/>
    </row>
    <row r="329" spans="6:14">
      <c r="F329" s="199"/>
      <c r="G329" s="199"/>
      <c r="H329" s="199"/>
      <c r="I329" s="199"/>
      <c r="J329" s="199"/>
      <c r="K329" s="199"/>
      <c r="L329" s="199"/>
      <c r="M329" s="199"/>
      <c r="N329" s="199"/>
    </row>
    <row r="330" spans="6:14">
      <c r="F330" s="199"/>
      <c r="G330" s="199"/>
      <c r="H330" s="199"/>
      <c r="I330" s="199"/>
      <c r="J330" s="199"/>
      <c r="K330" s="199"/>
      <c r="L330" s="199"/>
      <c r="M330" s="199"/>
      <c r="N330" s="199"/>
    </row>
    <row r="331" spans="6:14">
      <c r="F331" s="199"/>
      <c r="G331" s="199"/>
      <c r="H331" s="199"/>
      <c r="I331" s="199"/>
      <c r="J331" s="199"/>
      <c r="K331" s="199"/>
      <c r="L331" s="199"/>
      <c r="M331" s="199"/>
      <c r="N331" s="199"/>
    </row>
    <row r="332" spans="6:14">
      <c r="F332" s="199"/>
      <c r="G332" s="199"/>
      <c r="H332" s="199"/>
      <c r="I332" s="199"/>
      <c r="J332" s="199"/>
      <c r="K332" s="199"/>
      <c r="L332" s="199"/>
      <c r="M332" s="199"/>
      <c r="N332" s="199"/>
    </row>
    <row r="333" spans="6:14">
      <c r="F333" s="199"/>
      <c r="G333" s="199"/>
      <c r="H333" s="199"/>
      <c r="I333" s="199"/>
      <c r="J333" s="199"/>
      <c r="K333" s="199"/>
      <c r="L333" s="199"/>
      <c r="M333" s="199"/>
      <c r="N333" s="199"/>
    </row>
    <row r="334" spans="6:14">
      <c r="F334" s="199"/>
      <c r="G334" s="199"/>
      <c r="H334" s="199"/>
      <c r="I334" s="199"/>
      <c r="J334" s="199"/>
      <c r="K334" s="199"/>
      <c r="L334" s="199"/>
      <c r="M334" s="199"/>
      <c r="N334" s="199"/>
    </row>
    <row r="335" spans="6:14">
      <c r="F335" s="199"/>
      <c r="G335" s="199"/>
      <c r="H335" s="199"/>
      <c r="I335" s="199"/>
      <c r="J335" s="199"/>
      <c r="K335" s="199"/>
      <c r="L335" s="199"/>
      <c r="M335" s="199"/>
      <c r="N335" s="199"/>
    </row>
    <row r="336" spans="6:14">
      <c r="F336" s="199"/>
      <c r="G336" s="199"/>
      <c r="H336" s="199"/>
      <c r="I336" s="199"/>
      <c r="J336" s="199"/>
      <c r="K336" s="199"/>
      <c r="L336" s="199"/>
      <c r="M336" s="199"/>
      <c r="N336" s="199"/>
    </row>
    <row r="337" spans="6:14">
      <c r="F337" s="199"/>
      <c r="G337" s="199"/>
      <c r="H337" s="199"/>
      <c r="I337" s="199"/>
      <c r="J337" s="199"/>
      <c r="K337" s="199"/>
      <c r="L337" s="199"/>
      <c r="M337" s="199"/>
      <c r="N337" s="199"/>
    </row>
    <row r="338" spans="6:14">
      <c r="F338" s="199"/>
      <c r="G338" s="199"/>
      <c r="H338" s="199"/>
      <c r="I338" s="199"/>
      <c r="J338" s="199"/>
      <c r="K338" s="199"/>
      <c r="L338" s="199"/>
      <c r="M338" s="199"/>
      <c r="N338" s="199"/>
    </row>
    <row r="339" spans="6:14">
      <c r="F339" s="199"/>
      <c r="G339" s="199"/>
      <c r="H339" s="199"/>
      <c r="I339" s="199"/>
      <c r="J339" s="199"/>
      <c r="K339" s="199"/>
      <c r="L339" s="199"/>
      <c r="M339" s="199"/>
      <c r="N339" s="199"/>
    </row>
    <row r="340" spans="6:14">
      <c r="F340" s="199"/>
      <c r="G340" s="199"/>
      <c r="H340" s="199"/>
      <c r="I340" s="199"/>
      <c r="J340" s="199"/>
      <c r="K340" s="199"/>
      <c r="L340" s="199"/>
      <c r="M340" s="199"/>
      <c r="N340" s="199"/>
    </row>
    <row r="341" spans="6:14">
      <c r="F341" s="199"/>
      <c r="G341" s="199"/>
      <c r="H341" s="199"/>
      <c r="I341" s="199"/>
      <c r="J341" s="199"/>
      <c r="K341" s="199"/>
      <c r="L341" s="199"/>
      <c r="M341" s="199"/>
      <c r="N341" s="199"/>
    </row>
    <row r="342" spans="6:14">
      <c r="F342" s="199"/>
      <c r="G342" s="199"/>
      <c r="H342" s="199"/>
      <c r="I342" s="199"/>
      <c r="J342" s="199"/>
      <c r="K342" s="199"/>
      <c r="L342" s="199"/>
      <c r="M342" s="199"/>
      <c r="N342" s="199"/>
    </row>
    <row r="343" spans="6:14">
      <c r="F343" s="199"/>
      <c r="G343" s="199"/>
      <c r="H343" s="199"/>
      <c r="I343" s="199"/>
      <c r="J343" s="199"/>
      <c r="K343" s="199"/>
      <c r="L343" s="199"/>
      <c r="M343" s="199"/>
      <c r="N343" s="199"/>
    </row>
    <row r="344" spans="6:14">
      <c r="F344" s="199"/>
      <c r="G344" s="199"/>
      <c r="H344" s="199"/>
      <c r="I344" s="199"/>
      <c r="J344" s="199"/>
      <c r="K344" s="199"/>
      <c r="L344" s="199"/>
      <c r="M344" s="199"/>
      <c r="N344" s="199"/>
    </row>
    <row r="345" spans="6:14">
      <c r="F345" s="199"/>
      <c r="G345" s="199"/>
      <c r="H345" s="199"/>
      <c r="I345" s="199"/>
      <c r="J345" s="199"/>
      <c r="K345" s="199"/>
      <c r="L345" s="199"/>
      <c r="M345" s="199"/>
      <c r="N345" s="199"/>
    </row>
    <row r="346" spans="6:14">
      <c r="F346" s="199"/>
      <c r="G346" s="199"/>
      <c r="H346" s="199"/>
      <c r="I346" s="199"/>
      <c r="J346" s="199"/>
      <c r="K346" s="199"/>
      <c r="L346" s="199"/>
      <c r="M346" s="199"/>
      <c r="N346" s="199"/>
    </row>
    <row r="347" spans="6:14">
      <c r="F347" s="199"/>
      <c r="G347" s="199"/>
      <c r="H347" s="199"/>
      <c r="I347" s="199"/>
      <c r="J347" s="199"/>
      <c r="K347" s="199"/>
      <c r="L347" s="199"/>
      <c r="M347" s="199"/>
      <c r="N347" s="199"/>
    </row>
    <row r="348" spans="6:14">
      <c r="F348" s="199"/>
      <c r="G348" s="199"/>
      <c r="H348" s="199"/>
      <c r="I348" s="199"/>
      <c r="J348" s="199"/>
      <c r="K348" s="199"/>
      <c r="L348" s="199"/>
      <c r="M348" s="199"/>
      <c r="N348" s="199"/>
    </row>
    <row r="349" spans="6:14">
      <c r="F349" s="199"/>
      <c r="G349" s="199"/>
      <c r="H349" s="199"/>
      <c r="I349" s="199"/>
      <c r="J349" s="199"/>
      <c r="K349" s="199"/>
      <c r="L349" s="199"/>
      <c r="M349" s="199"/>
      <c r="N349" s="199"/>
    </row>
    <row r="350" spans="6:14">
      <c r="F350" s="199"/>
      <c r="G350" s="199"/>
      <c r="H350" s="199"/>
      <c r="I350" s="199"/>
      <c r="J350" s="199"/>
      <c r="K350" s="199"/>
      <c r="L350" s="199"/>
      <c r="M350" s="199"/>
      <c r="N350" s="199"/>
    </row>
    <row r="351" spans="6:14">
      <c r="F351" s="199"/>
      <c r="G351" s="199"/>
      <c r="H351" s="199"/>
      <c r="I351" s="199"/>
      <c r="J351" s="199"/>
      <c r="K351" s="199"/>
      <c r="L351" s="199"/>
      <c r="M351" s="199"/>
      <c r="N351" s="199"/>
    </row>
    <row r="352" spans="6:14">
      <c r="F352" s="199"/>
      <c r="G352" s="199"/>
      <c r="H352" s="199"/>
      <c r="I352" s="199"/>
      <c r="J352" s="199"/>
      <c r="K352" s="199"/>
      <c r="L352" s="199"/>
      <c r="M352" s="199"/>
      <c r="N352" s="199"/>
    </row>
    <row r="353" spans="6:14">
      <c r="F353" s="199"/>
      <c r="G353" s="199"/>
      <c r="H353" s="199"/>
      <c r="I353" s="199"/>
      <c r="J353" s="199"/>
      <c r="K353" s="199"/>
      <c r="L353" s="199"/>
      <c r="M353" s="199"/>
      <c r="N353" s="199"/>
    </row>
    <row r="354" spans="6:14">
      <c r="F354" s="199"/>
      <c r="G354" s="199"/>
      <c r="H354" s="199"/>
      <c r="I354" s="199"/>
      <c r="J354" s="199"/>
      <c r="K354" s="199"/>
      <c r="L354" s="199"/>
      <c r="M354" s="199"/>
      <c r="N354" s="199"/>
    </row>
    <row r="355" spans="6:14">
      <c r="F355" s="199"/>
      <c r="G355" s="199"/>
      <c r="H355" s="199"/>
      <c r="I355" s="199"/>
      <c r="J355" s="199"/>
      <c r="K355" s="199"/>
      <c r="L355" s="199"/>
      <c r="M355" s="199"/>
      <c r="N355" s="199"/>
    </row>
    <row r="356" spans="6:14">
      <c r="F356" s="199"/>
      <c r="G356" s="199"/>
      <c r="H356" s="199"/>
      <c r="I356" s="199"/>
      <c r="J356" s="199"/>
      <c r="K356" s="199"/>
      <c r="L356" s="199"/>
      <c r="M356" s="199"/>
      <c r="N356" s="199"/>
    </row>
    <row r="357" spans="6:14">
      <c r="F357" s="199"/>
      <c r="G357" s="199"/>
      <c r="H357" s="199"/>
      <c r="I357" s="199"/>
      <c r="J357" s="199"/>
      <c r="K357" s="199"/>
      <c r="L357" s="199"/>
      <c r="M357" s="199"/>
      <c r="N357" s="199"/>
    </row>
    <row r="358" spans="6:14">
      <c r="F358" s="199"/>
      <c r="G358" s="199"/>
      <c r="H358" s="199"/>
      <c r="I358" s="199"/>
      <c r="J358" s="199"/>
      <c r="K358" s="199"/>
      <c r="L358" s="199"/>
      <c r="M358" s="199"/>
      <c r="N358" s="199"/>
    </row>
    <row r="359" spans="6:14">
      <c r="F359" s="199"/>
      <c r="G359" s="199"/>
      <c r="H359" s="199"/>
      <c r="I359" s="199"/>
      <c r="J359" s="199"/>
      <c r="K359" s="199"/>
      <c r="L359" s="199"/>
      <c r="M359" s="199"/>
      <c r="N359" s="199"/>
    </row>
    <row r="360" spans="6:14">
      <c r="F360" s="199"/>
      <c r="G360" s="199"/>
      <c r="H360" s="199"/>
      <c r="I360" s="199"/>
      <c r="J360" s="199"/>
      <c r="K360" s="199"/>
      <c r="L360" s="199"/>
      <c r="M360" s="199"/>
      <c r="N360" s="199"/>
    </row>
    <row r="361" spans="6:14">
      <c r="F361" s="199"/>
      <c r="G361" s="199"/>
      <c r="H361" s="199"/>
      <c r="I361" s="199"/>
      <c r="J361" s="199"/>
      <c r="K361" s="199"/>
      <c r="L361" s="199"/>
      <c r="M361" s="199"/>
      <c r="N361" s="199"/>
    </row>
    <row r="362" spans="6:14">
      <c r="F362" s="199"/>
      <c r="G362" s="199"/>
      <c r="H362" s="199"/>
      <c r="I362" s="199"/>
      <c r="J362" s="199"/>
      <c r="K362" s="199"/>
      <c r="L362" s="199"/>
      <c r="M362" s="199"/>
      <c r="N362" s="199"/>
    </row>
    <row r="363" spans="6:14">
      <c r="F363" s="199"/>
      <c r="G363" s="199"/>
      <c r="H363" s="199"/>
      <c r="I363" s="199"/>
      <c r="J363" s="199"/>
      <c r="K363" s="199"/>
      <c r="L363" s="199"/>
      <c r="M363" s="199"/>
      <c r="N363" s="199"/>
    </row>
    <row r="364" spans="6:14">
      <c r="F364" s="199"/>
      <c r="G364" s="199"/>
      <c r="H364" s="199"/>
      <c r="I364" s="199"/>
      <c r="J364" s="199"/>
      <c r="K364" s="199"/>
      <c r="L364" s="199"/>
      <c r="M364" s="199"/>
      <c r="N364" s="199"/>
    </row>
    <row r="365" spans="6:14">
      <c r="F365" s="199"/>
      <c r="G365" s="199"/>
      <c r="H365" s="199"/>
      <c r="I365" s="199"/>
      <c r="J365" s="199"/>
      <c r="K365" s="199"/>
      <c r="L365" s="199"/>
      <c r="M365" s="199"/>
      <c r="N365" s="199"/>
    </row>
    <row r="366" spans="6:14">
      <c r="F366" s="199"/>
      <c r="G366" s="199"/>
      <c r="H366" s="199"/>
      <c r="I366" s="199"/>
      <c r="J366" s="199"/>
      <c r="K366" s="199"/>
      <c r="L366" s="199"/>
      <c r="M366" s="199"/>
      <c r="N366" s="199"/>
    </row>
    <row r="367" spans="6:14">
      <c r="F367" s="199"/>
      <c r="G367" s="199"/>
      <c r="H367" s="199"/>
      <c r="I367" s="199"/>
      <c r="J367" s="199"/>
      <c r="K367" s="199"/>
      <c r="L367" s="199"/>
      <c r="M367" s="199"/>
      <c r="N367" s="199"/>
    </row>
    <row r="368" spans="6:14">
      <c r="F368" s="199"/>
      <c r="G368" s="199"/>
      <c r="H368" s="199"/>
      <c r="I368" s="199"/>
      <c r="J368" s="199"/>
      <c r="K368" s="199"/>
      <c r="L368" s="199"/>
      <c r="M368" s="199"/>
      <c r="N368" s="199"/>
    </row>
    <row r="369" spans="6:14">
      <c r="F369" s="199"/>
      <c r="G369" s="199"/>
      <c r="H369" s="199"/>
      <c r="I369" s="199"/>
      <c r="J369" s="199"/>
      <c r="K369" s="199"/>
      <c r="L369" s="199"/>
      <c r="M369" s="199"/>
      <c r="N369" s="199"/>
    </row>
    <row r="370" spans="6:14">
      <c r="F370" s="199"/>
      <c r="G370" s="199"/>
      <c r="H370" s="199"/>
      <c r="I370" s="199"/>
      <c r="J370" s="199"/>
      <c r="K370" s="199"/>
      <c r="L370" s="199"/>
      <c r="M370" s="199"/>
      <c r="N370" s="199"/>
    </row>
    <row r="371" spans="6:14">
      <c r="F371" s="199"/>
      <c r="G371" s="199"/>
      <c r="H371" s="199"/>
      <c r="I371" s="199"/>
      <c r="J371" s="199"/>
      <c r="K371" s="199"/>
      <c r="L371" s="199"/>
      <c r="M371" s="199"/>
      <c r="N371" s="199"/>
    </row>
    <row r="372" spans="6:14">
      <c r="F372" s="199"/>
      <c r="G372" s="199"/>
      <c r="H372" s="199"/>
      <c r="I372" s="199"/>
      <c r="J372" s="199"/>
      <c r="K372" s="199"/>
      <c r="L372" s="199"/>
      <c r="M372" s="199"/>
      <c r="N372" s="199"/>
    </row>
    <row r="373" spans="6:14">
      <c r="F373" s="199"/>
      <c r="G373" s="199"/>
      <c r="H373" s="199"/>
      <c r="I373" s="199"/>
      <c r="J373" s="199"/>
      <c r="K373" s="199"/>
      <c r="L373" s="199"/>
      <c r="M373" s="199"/>
      <c r="N373" s="199"/>
    </row>
    <row r="374" spans="6:14">
      <c r="F374" s="199"/>
      <c r="G374" s="199"/>
      <c r="H374" s="199"/>
      <c r="I374" s="199"/>
      <c r="J374" s="199"/>
      <c r="K374" s="199"/>
      <c r="L374" s="199"/>
      <c r="M374" s="199"/>
      <c r="N374" s="199"/>
    </row>
    <row r="375" spans="6:14">
      <c r="F375" s="199"/>
      <c r="G375" s="199"/>
      <c r="H375" s="199"/>
      <c r="I375" s="199"/>
      <c r="J375" s="199"/>
      <c r="K375" s="199"/>
      <c r="L375" s="199"/>
      <c r="M375" s="199"/>
      <c r="N375" s="199"/>
    </row>
    <row r="376" spans="6:14">
      <c r="F376" s="199"/>
      <c r="G376" s="199"/>
      <c r="H376" s="199"/>
      <c r="I376" s="199"/>
      <c r="J376" s="199"/>
      <c r="K376" s="199"/>
      <c r="L376" s="199"/>
      <c r="M376" s="199"/>
      <c r="N376" s="199"/>
    </row>
    <row r="377" spans="6:14">
      <c r="F377" s="199"/>
      <c r="G377" s="199"/>
      <c r="H377" s="199"/>
      <c r="I377" s="199"/>
      <c r="J377" s="199"/>
      <c r="K377" s="199"/>
      <c r="L377" s="199"/>
      <c r="M377" s="199"/>
      <c r="N377" s="199"/>
    </row>
    <row r="378" spans="6:14">
      <c r="F378" s="199"/>
      <c r="G378" s="199"/>
      <c r="H378" s="199"/>
      <c r="I378" s="199"/>
      <c r="J378" s="199"/>
      <c r="K378" s="199"/>
      <c r="L378" s="199"/>
      <c r="M378" s="199"/>
      <c r="N378" s="199"/>
    </row>
    <row r="379" spans="6:14">
      <c r="F379" s="199"/>
      <c r="G379" s="199"/>
      <c r="H379" s="199"/>
      <c r="I379" s="199"/>
      <c r="J379" s="199"/>
      <c r="K379" s="199"/>
      <c r="L379" s="199"/>
      <c r="M379" s="199"/>
      <c r="N379" s="199"/>
    </row>
    <row r="380" spans="6:14">
      <c r="F380" s="199"/>
      <c r="G380" s="199"/>
      <c r="H380" s="199"/>
      <c r="I380" s="199"/>
      <c r="J380" s="199"/>
      <c r="K380" s="199"/>
      <c r="L380" s="199"/>
      <c r="M380" s="199"/>
      <c r="N380" s="199"/>
    </row>
    <row r="381" spans="6:14">
      <c r="F381" s="199"/>
      <c r="G381" s="199"/>
      <c r="H381" s="199"/>
      <c r="I381" s="199"/>
      <c r="J381" s="199"/>
      <c r="K381" s="199"/>
      <c r="L381" s="199"/>
      <c r="M381" s="199"/>
      <c r="N381" s="199"/>
    </row>
    <row r="382" spans="6:14">
      <c r="F382" s="199"/>
      <c r="G382" s="199"/>
      <c r="H382" s="199"/>
      <c r="I382" s="199"/>
      <c r="J382" s="199"/>
      <c r="K382" s="199"/>
      <c r="L382" s="199"/>
      <c r="M382" s="199"/>
      <c r="N382" s="199"/>
    </row>
    <row r="383" spans="6:14">
      <c r="F383" s="199"/>
      <c r="G383" s="199"/>
      <c r="H383" s="199"/>
      <c r="I383" s="199"/>
      <c r="J383" s="199"/>
      <c r="K383" s="199"/>
      <c r="L383" s="199"/>
      <c r="M383" s="199"/>
      <c r="N383" s="199"/>
    </row>
    <row r="384" spans="6:14">
      <c r="F384" s="199"/>
      <c r="G384" s="199"/>
      <c r="H384" s="199"/>
      <c r="I384" s="199"/>
      <c r="J384" s="199"/>
      <c r="K384" s="199"/>
      <c r="L384" s="199"/>
      <c r="M384" s="199"/>
      <c r="N384" s="199"/>
    </row>
    <row r="385" spans="6:14">
      <c r="F385" s="199"/>
      <c r="G385" s="199"/>
      <c r="H385" s="199"/>
      <c r="I385" s="199"/>
      <c r="J385" s="199"/>
      <c r="K385" s="199"/>
      <c r="L385" s="199"/>
      <c r="M385" s="199"/>
      <c r="N385" s="199"/>
    </row>
    <row r="386" spans="6:14">
      <c r="F386" s="199"/>
      <c r="G386" s="199"/>
      <c r="H386" s="199"/>
      <c r="I386" s="199"/>
      <c r="J386" s="199"/>
      <c r="K386" s="199"/>
      <c r="L386" s="199"/>
      <c r="M386" s="199"/>
      <c r="N386" s="199"/>
    </row>
    <row r="387" spans="6:14">
      <c r="F387" s="199"/>
      <c r="G387" s="199"/>
      <c r="H387" s="199"/>
      <c r="I387" s="199"/>
      <c r="J387" s="199"/>
      <c r="K387" s="199"/>
      <c r="L387" s="199"/>
      <c r="M387" s="199"/>
      <c r="N387" s="199"/>
    </row>
    <row r="388" spans="6:14">
      <c r="F388" s="199"/>
      <c r="G388" s="199"/>
      <c r="H388" s="199"/>
      <c r="I388" s="199"/>
      <c r="J388" s="199"/>
      <c r="K388" s="199"/>
      <c r="L388" s="199"/>
      <c r="M388" s="199"/>
      <c r="N388" s="199"/>
    </row>
    <row r="389" spans="6:14">
      <c r="F389" s="199"/>
      <c r="G389" s="199"/>
      <c r="H389" s="199"/>
      <c r="I389" s="199"/>
      <c r="J389" s="199"/>
      <c r="K389" s="199"/>
      <c r="L389" s="199"/>
      <c r="M389" s="199"/>
      <c r="N389" s="199"/>
    </row>
    <row r="390" spans="6:14">
      <c r="F390" s="199"/>
      <c r="G390" s="199"/>
      <c r="H390" s="199"/>
      <c r="I390" s="199"/>
      <c r="J390" s="199"/>
      <c r="K390" s="199"/>
      <c r="L390" s="199"/>
      <c r="M390" s="199"/>
      <c r="N390" s="199"/>
    </row>
    <row r="391" spans="6:14">
      <c r="F391" s="199"/>
      <c r="G391" s="199"/>
      <c r="H391" s="199"/>
      <c r="I391" s="199"/>
      <c r="J391" s="199"/>
      <c r="K391" s="199"/>
      <c r="L391" s="199"/>
      <c r="M391" s="199"/>
      <c r="N391" s="199"/>
    </row>
    <row r="392" spans="6:14">
      <c r="F392" s="199"/>
      <c r="G392" s="199"/>
      <c r="H392" s="199"/>
      <c r="I392" s="199"/>
      <c r="J392" s="199"/>
      <c r="K392" s="199"/>
      <c r="L392" s="199"/>
      <c r="M392" s="199"/>
      <c r="N392" s="199"/>
    </row>
    <row r="393" spans="6:14">
      <c r="F393" s="199"/>
      <c r="G393" s="199"/>
      <c r="H393" s="199"/>
      <c r="I393" s="199"/>
      <c r="J393" s="199"/>
      <c r="K393" s="199"/>
      <c r="L393" s="199"/>
      <c r="M393" s="199"/>
      <c r="N393" s="199"/>
    </row>
    <row r="394" spans="6:14">
      <c r="F394" s="199"/>
      <c r="G394" s="199"/>
      <c r="H394" s="199"/>
      <c r="I394" s="199"/>
      <c r="J394" s="199"/>
      <c r="K394" s="199"/>
      <c r="L394" s="199"/>
      <c r="M394" s="199"/>
      <c r="N394" s="199"/>
    </row>
    <row r="395" spans="6:14">
      <c r="F395" s="199"/>
      <c r="G395" s="199"/>
      <c r="H395" s="199"/>
      <c r="I395" s="199"/>
      <c r="J395" s="199"/>
      <c r="K395" s="199"/>
      <c r="L395" s="199"/>
      <c r="M395" s="199"/>
      <c r="N395" s="199"/>
    </row>
    <row r="396" spans="6:14">
      <c r="F396" s="199"/>
      <c r="G396" s="199"/>
      <c r="H396" s="199"/>
      <c r="I396" s="199"/>
      <c r="J396" s="199"/>
      <c r="K396" s="199"/>
      <c r="L396" s="199"/>
      <c r="M396" s="199"/>
      <c r="N396" s="199"/>
    </row>
    <row r="397" spans="6:14">
      <c r="F397" s="199"/>
      <c r="G397" s="199"/>
      <c r="H397" s="199"/>
      <c r="I397" s="199"/>
      <c r="J397" s="199"/>
      <c r="K397" s="199"/>
      <c r="L397" s="199"/>
      <c r="M397" s="199"/>
      <c r="N397" s="199"/>
    </row>
    <row r="398" spans="6:14">
      <c r="F398" s="199"/>
      <c r="G398" s="199"/>
      <c r="H398" s="199"/>
      <c r="I398" s="199"/>
      <c r="J398" s="199"/>
      <c r="K398" s="199"/>
      <c r="L398" s="199"/>
      <c r="M398" s="199"/>
      <c r="N398" s="199"/>
    </row>
    <row r="399" spans="6:14">
      <c r="F399" s="199"/>
      <c r="G399" s="199"/>
      <c r="H399" s="199"/>
      <c r="I399" s="199"/>
      <c r="J399" s="199"/>
      <c r="K399" s="199"/>
      <c r="L399" s="199"/>
      <c r="M399" s="199"/>
      <c r="N399" s="199"/>
    </row>
    <row r="400" spans="6:14">
      <c r="F400" s="199"/>
      <c r="G400" s="199"/>
      <c r="H400" s="199"/>
      <c r="I400" s="199"/>
      <c r="J400" s="199"/>
      <c r="K400" s="199"/>
      <c r="L400" s="199"/>
      <c r="M400" s="199"/>
      <c r="N400" s="199"/>
    </row>
    <row r="401" spans="6:14">
      <c r="F401" s="199"/>
      <c r="G401" s="199"/>
      <c r="H401" s="199"/>
      <c r="I401" s="199"/>
      <c r="J401" s="199"/>
      <c r="K401" s="199"/>
      <c r="L401" s="199"/>
      <c r="M401" s="199"/>
      <c r="N401" s="199"/>
    </row>
    <row r="402" spans="6:14">
      <c r="F402" s="199"/>
      <c r="G402" s="199"/>
      <c r="H402" s="199"/>
      <c r="I402" s="199"/>
      <c r="J402" s="199"/>
      <c r="K402" s="199"/>
      <c r="L402" s="199"/>
      <c r="M402" s="199"/>
      <c r="N402" s="199"/>
    </row>
    <row r="403" spans="6:14">
      <c r="F403" s="199"/>
      <c r="G403" s="199"/>
      <c r="H403" s="199"/>
      <c r="I403" s="199"/>
      <c r="J403" s="199"/>
      <c r="K403" s="199"/>
      <c r="L403" s="199"/>
      <c r="M403" s="199"/>
      <c r="N403" s="199"/>
    </row>
    <row r="404" spans="6:14">
      <c r="F404" s="199"/>
      <c r="G404" s="199"/>
      <c r="H404" s="199"/>
      <c r="I404" s="199"/>
      <c r="J404" s="199"/>
      <c r="K404" s="199"/>
      <c r="L404" s="199"/>
      <c r="M404" s="199"/>
      <c r="N404" s="199"/>
    </row>
    <row r="405" spans="6:14">
      <c r="F405" s="199"/>
      <c r="G405" s="199"/>
      <c r="H405" s="199"/>
      <c r="I405" s="199"/>
      <c r="J405" s="199"/>
      <c r="K405" s="199"/>
      <c r="L405" s="199"/>
      <c r="M405" s="199"/>
      <c r="N405" s="199"/>
    </row>
    <row r="406" spans="6:14">
      <c r="F406" s="199"/>
      <c r="G406" s="199"/>
      <c r="H406" s="199"/>
      <c r="I406" s="199"/>
      <c r="J406" s="199"/>
      <c r="K406" s="199"/>
      <c r="L406" s="199"/>
      <c r="M406" s="199"/>
      <c r="N406" s="199"/>
    </row>
    <row r="407" spans="6:14">
      <c r="F407" s="199"/>
      <c r="G407" s="199"/>
      <c r="H407" s="199"/>
      <c r="I407" s="199"/>
      <c r="J407" s="199"/>
      <c r="K407" s="199"/>
      <c r="L407" s="199"/>
      <c r="M407" s="199"/>
      <c r="N407" s="199"/>
    </row>
    <row r="408" spans="6:14">
      <c r="F408" s="199"/>
      <c r="G408" s="199"/>
      <c r="H408" s="199"/>
      <c r="I408" s="199"/>
      <c r="J408" s="199"/>
      <c r="K408" s="199"/>
      <c r="L408" s="199"/>
      <c r="M408" s="199"/>
      <c r="N408" s="199"/>
    </row>
    <row r="409" spans="6:14">
      <c r="F409" s="199"/>
      <c r="G409" s="199"/>
      <c r="H409" s="199"/>
      <c r="I409" s="199"/>
      <c r="J409" s="199"/>
      <c r="K409" s="199"/>
      <c r="L409" s="199"/>
      <c r="M409" s="199"/>
      <c r="N409" s="199"/>
    </row>
    <row r="410" spans="6:14">
      <c r="F410" s="199"/>
      <c r="G410" s="199"/>
      <c r="H410" s="199"/>
      <c r="I410" s="199"/>
      <c r="J410" s="199"/>
      <c r="K410" s="199"/>
      <c r="L410" s="199"/>
      <c r="M410" s="199"/>
      <c r="N410" s="199"/>
    </row>
    <row r="411" spans="6:14">
      <c r="F411" s="199"/>
      <c r="G411" s="199"/>
      <c r="H411" s="199"/>
      <c r="I411" s="199"/>
      <c r="J411" s="199"/>
      <c r="K411" s="199"/>
      <c r="L411" s="199"/>
      <c r="M411" s="199"/>
      <c r="N411" s="199"/>
    </row>
    <row r="412" spans="6:14">
      <c r="F412" s="199"/>
      <c r="G412" s="199"/>
      <c r="H412" s="199"/>
      <c r="I412" s="199"/>
      <c r="J412" s="199"/>
      <c r="K412" s="199"/>
      <c r="L412" s="199"/>
      <c r="M412" s="199"/>
      <c r="N412" s="199"/>
    </row>
    <row r="413" spans="6:14">
      <c r="F413" s="199"/>
      <c r="G413" s="199"/>
      <c r="H413" s="199"/>
      <c r="I413" s="199"/>
      <c r="J413" s="199"/>
      <c r="K413" s="199"/>
      <c r="L413" s="199"/>
      <c r="M413" s="199"/>
      <c r="N413" s="199"/>
    </row>
    <row r="414" spans="6:14">
      <c r="F414" s="199"/>
      <c r="G414" s="199"/>
      <c r="H414" s="199"/>
      <c r="I414" s="199"/>
      <c r="J414" s="199"/>
      <c r="K414" s="199"/>
      <c r="L414" s="199"/>
      <c r="M414" s="199"/>
      <c r="N414" s="199"/>
    </row>
    <row r="415" spans="6:14">
      <c r="F415" s="199"/>
      <c r="G415" s="199"/>
      <c r="H415" s="199"/>
      <c r="I415" s="199"/>
      <c r="J415" s="199"/>
      <c r="K415" s="199"/>
      <c r="L415" s="199"/>
      <c r="M415" s="199"/>
      <c r="N415" s="199"/>
    </row>
    <row r="416" spans="6:14">
      <c r="F416" s="199"/>
      <c r="G416" s="199"/>
      <c r="H416" s="199"/>
      <c r="I416" s="199"/>
      <c r="J416" s="199"/>
      <c r="K416" s="199"/>
      <c r="L416" s="199"/>
      <c r="M416" s="199"/>
      <c r="N416" s="199"/>
    </row>
    <row r="417" spans="6:14">
      <c r="F417" s="199"/>
      <c r="G417" s="199"/>
      <c r="H417" s="199"/>
      <c r="I417" s="199"/>
      <c r="J417" s="199"/>
      <c r="K417" s="199"/>
      <c r="L417" s="199"/>
      <c r="M417" s="199"/>
      <c r="N417" s="199"/>
    </row>
    <row r="418" spans="6:14">
      <c r="F418" s="199"/>
      <c r="G418" s="199"/>
      <c r="H418" s="199"/>
      <c r="I418" s="199"/>
      <c r="J418" s="199"/>
      <c r="K418" s="199"/>
      <c r="L418" s="199"/>
      <c r="M418" s="199"/>
      <c r="N418" s="199"/>
    </row>
    <row r="419" spans="6:14">
      <c r="F419" s="199"/>
      <c r="G419" s="199"/>
      <c r="H419" s="199"/>
      <c r="I419" s="199"/>
      <c r="J419" s="199"/>
      <c r="K419" s="199"/>
      <c r="L419" s="199"/>
      <c r="M419" s="199"/>
      <c r="N419" s="199"/>
    </row>
    <row r="420" spans="6:14">
      <c r="F420" s="199"/>
      <c r="G420" s="199"/>
      <c r="H420" s="199"/>
      <c r="I420" s="199"/>
      <c r="J420" s="199"/>
      <c r="K420" s="199"/>
      <c r="L420" s="199"/>
      <c r="M420" s="199"/>
      <c r="N420" s="199"/>
    </row>
    <row r="421" spans="6:14">
      <c r="F421" s="199"/>
      <c r="G421" s="199"/>
      <c r="H421" s="199"/>
      <c r="I421" s="199"/>
      <c r="J421" s="199"/>
      <c r="K421" s="199"/>
      <c r="L421" s="199"/>
      <c r="M421" s="199"/>
      <c r="N421" s="199"/>
    </row>
    <row r="422" spans="6:14">
      <c r="F422" s="199"/>
      <c r="G422" s="199"/>
      <c r="H422" s="199"/>
      <c r="I422" s="199"/>
      <c r="J422" s="199"/>
      <c r="K422" s="199"/>
      <c r="L422" s="199"/>
      <c r="M422" s="199"/>
      <c r="N422" s="199"/>
    </row>
    <row r="423" spans="6:14">
      <c r="F423" s="199"/>
      <c r="G423" s="199"/>
      <c r="H423" s="199"/>
      <c r="I423" s="199"/>
      <c r="J423" s="199"/>
      <c r="K423" s="199"/>
      <c r="L423" s="199"/>
      <c r="M423" s="199"/>
      <c r="N423" s="199"/>
    </row>
    <row r="424" spans="6:14">
      <c r="F424" s="199"/>
      <c r="G424" s="199"/>
      <c r="H424" s="199"/>
      <c r="I424" s="199"/>
      <c r="J424" s="199"/>
      <c r="K424" s="199"/>
      <c r="L424" s="199"/>
      <c r="M424" s="199"/>
      <c r="N424" s="199"/>
    </row>
    <row r="425" spans="6:14">
      <c r="F425" s="199"/>
      <c r="G425" s="199"/>
      <c r="H425" s="199"/>
      <c r="I425" s="199"/>
      <c r="J425" s="199"/>
      <c r="K425" s="199"/>
      <c r="L425" s="199"/>
      <c r="M425" s="199"/>
      <c r="N425" s="199"/>
    </row>
    <row r="426" spans="6:14">
      <c r="F426" s="199"/>
      <c r="G426" s="199"/>
      <c r="H426" s="199"/>
      <c r="I426" s="199"/>
      <c r="J426" s="199"/>
      <c r="K426" s="199"/>
      <c r="L426" s="199"/>
      <c r="M426" s="199"/>
      <c r="N426" s="199"/>
    </row>
    <row r="427" spans="6:14">
      <c r="F427" s="199"/>
      <c r="G427" s="199"/>
      <c r="H427" s="199"/>
      <c r="I427" s="199"/>
      <c r="J427" s="199"/>
      <c r="K427" s="199"/>
      <c r="L427" s="199"/>
      <c r="M427" s="199"/>
      <c r="N427" s="199"/>
    </row>
    <row r="428" spans="6:14">
      <c r="F428" s="199"/>
      <c r="G428" s="199"/>
      <c r="H428" s="199"/>
      <c r="I428" s="199"/>
      <c r="J428" s="199"/>
      <c r="K428" s="199"/>
      <c r="L428" s="199"/>
      <c r="M428" s="199"/>
      <c r="N428" s="199"/>
    </row>
    <row r="429" spans="6:14">
      <c r="F429" s="199"/>
      <c r="G429" s="199"/>
      <c r="H429" s="199"/>
      <c r="I429" s="199"/>
      <c r="J429" s="199"/>
      <c r="K429" s="199"/>
      <c r="L429" s="199"/>
      <c r="M429" s="199"/>
      <c r="N429" s="199"/>
    </row>
    <row r="430" spans="6:14">
      <c r="F430" s="199"/>
      <c r="G430" s="199"/>
      <c r="H430" s="199"/>
      <c r="I430" s="199"/>
      <c r="J430" s="199"/>
      <c r="K430" s="199"/>
      <c r="L430" s="199"/>
      <c r="M430" s="199"/>
      <c r="N430" s="199"/>
    </row>
    <row r="431" spans="6:14">
      <c r="F431" s="199"/>
      <c r="G431" s="199"/>
      <c r="H431" s="199"/>
      <c r="I431" s="199"/>
      <c r="J431" s="199"/>
      <c r="K431" s="199"/>
      <c r="L431" s="199"/>
      <c r="M431" s="199"/>
      <c r="N431" s="199"/>
    </row>
    <row r="432" spans="6:14">
      <c r="F432" s="199"/>
      <c r="G432" s="199"/>
      <c r="H432" s="199"/>
      <c r="I432" s="199"/>
      <c r="J432" s="199"/>
      <c r="K432" s="199"/>
      <c r="L432" s="199"/>
      <c r="M432" s="199"/>
      <c r="N432" s="199"/>
    </row>
    <row r="433" spans="6:14">
      <c r="F433" s="199"/>
      <c r="G433" s="199"/>
      <c r="H433" s="199"/>
      <c r="I433" s="199"/>
      <c r="J433" s="199"/>
      <c r="K433" s="199"/>
      <c r="L433" s="199"/>
      <c r="M433" s="199"/>
      <c r="N433" s="199"/>
    </row>
    <row r="434" spans="6:14">
      <c r="F434" s="199"/>
      <c r="G434" s="199"/>
      <c r="H434" s="199"/>
      <c r="I434" s="199"/>
      <c r="J434" s="199"/>
      <c r="K434" s="199"/>
      <c r="L434" s="199"/>
      <c r="M434" s="199"/>
      <c r="N434" s="199"/>
    </row>
    <row r="435" spans="6:14">
      <c r="F435" s="199"/>
      <c r="G435" s="199"/>
      <c r="H435" s="199"/>
      <c r="I435" s="199"/>
      <c r="J435" s="199"/>
      <c r="K435" s="199"/>
      <c r="L435" s="199"/>
      <c r="M435" s="199"/>
      <c r="N435" s="199"/>
    </row>
    <row r="436" spans="6:14">
      <c r="F436" s="199"/>
      <c r="G436" s="199"/>
      <c r="H436" s="199"/>
      <c r="I436" s="199"/>
      <c r="J436" s="199"/>
      <c r="K436" s="199"/>
      <c r="L436" s="199"/>
      <c r="M436" s="199"/>
      <c r="N436" s="199"/>
    </row>
    <row r="437" spans="6:14">
      <c r="F437" s="199"/>
      <c r="G437" s="199"/>
      <c r="H437" s="199"/>
      <c r="I437" s="199"/>
      <c r="J437" s="199"/>
      <c r="K437" s="199"/>
      <c r="L437" s="199"/>
      <c r="M437" s="199"/>
      <c r="N437" s="199"/>
    </row>
    <row r="438" spans="6:14">
      <c r="F438" s="199"/>
      <c r="G438" s="199"/>
      <c r="H438" s="199"/>
      <c r="I438" s="199"/>
      <c r="J438" s="199"/>
      <c r="K438" s="199"/>
      <c r="L438" s="199"/>
      <c r="M438" s="199"/>
      <c r="N438" s="199"/>
    </row>
    <row r="439" spans="6:14">
      <c r="F439" s="199"/>
      <c r="G439" s="199"/>
      <c r="H439" s="199"/>
      <c r="I439" s="199"/>
      <c r="J439" s="199"/>
      <c r="K439" s="199"/>
      <c r="L439" s="199"/>
      <c r="M439" s="199"/>
      <c r="N439" s="199"/>
    </row>
    <row r="440" spans="6:14">
      <c r="F440" s="199"/>
      <c r="G440" s="199"/>
      <c r="H440" s="199"/>
      <c r="I440" s="199"/>
      <c r="J440" s="199"/>
      <c r="K440" s="199"/>
      <c r="L440" s="199"/>
      <c r="M440" s="199"/>
      <c r="N440" s="199"/>
    </row>
    <row r="441" spans="6:14">
      <c r="F441" s="199"/>
      <c r="G441" s="199"/>
      <c r="H441" s="199"/>
      <c r="I441" s="199"/>
      <c r="J441" s="199"/>
      <c r="K441" s="199"/>
      <c r="L441" s="199"/>
      <c r="M441" s="199"/>
      <c r="N441" s="199"/>
    </row>
    <row r="442" spans="6:14">
      <c r="F442" s="199"/>
      <c r="G442" s="199"/>
      <c r="H442" s="199"/>
      <c r="I442" s="199"/>
      <c r="J442" s="199"/>
      <c r="K442" s="199"/>
      <c r="L442" s="199"/>
      <c r="M442" s="199"/>
      <c r="N442" s="199"/>
    </row>
    <row r="443" spans="6:14">
      <c r="F443" s="199"/>
      <c r="G443" s="199"/>
      <c r="H443" s="199"/>
      <c r="I443" s="199"/>
      <c r="J443" s="199"/>
      <c r="K443" s="199"/>
      <c r="L443" s="199"/>
      <c r="M443" s="199"/>
      <c r="N443" s="199"/>
    </row>
    <row r="444" spans="6:14">
      <c r="F444" s="199"/>
      <c r="G444" s="199"/>
      <c r="H444" s="199"/>
      <c r="I444" s="199"/>
      <c r="J444" s="199"/>
      <c r="K444" s="199"/>
      <c r="L444" s="199"/>
      <c r="M444" s="199"/>
      <c r="N444" s="199"/>
    </row>
    <row r="445" spans="6:14">
      <c r="F445" s="199"/>
      <c r="G445" s="199"/>
      <c r="H445" s="199"/>
      <c r="I445" s="199"/>
      <c r="J445" s="199"/>
      <c r="K445" s="199"/>
      <c r="L445" s="199"/>
      <c r="M445" s="199"/>
      <c r="N445" s="199"/>
    </row>
    <row r="446" spans="6:14">
      <c r="F446" s="199"/>
      <c r="G446" s="199"/>
      <c r="H446" s="199"/>
      <c r="I446" s="199"/>
      <c r="J446" s="199"/>
      <c r="K446" s="199"/>
      <c r="L446" s="199"/>
      <c r="M446" s="199"/>
      <c r="N446" s="199"/>
    </row>
    <row r="447" spans="6:14">
      <c r="F447" s="199"/>
      <c r="G447" s="199"/>
      <c r="H447" s="199"/>
      <c r="I447" s="199"/>
      <c r="J447" s="199"/>
      <c r="K447" s="199"/>
      <c r="L447" s="199"/>
      <c r="M447" s="199"/>
      <c r="N447" s="199"/>
    </row>
    <row r="448" spans="6:14">
      <c r="F448" s="199"/>
      <c r="G448" s="199"/>
      <c r="H448" s="199"/>
      <c r="I448" s="199"/>
      <c r="J448" s="199"/>
      <c r="K448" s="199"/>
      <c r="L448" s="199"/>
      <c r="M448" s="199"/>
      <c r="N448" s="199"/>
    </row>
    <row r="449" spans="6:14">
      <c r="F449" s="199"/>
      <c r="G449" s="199"/>
      <c r="H449" s="199"/>
      <c r="I449" s="199"/>
      <c r="J449" s="199"/>
      <c r="K449" s="199"/>
      <c r="L449" s="199"/>
      <c r="M449" s="199"/>
      <c r="N449" s="199"/>
    </row>
    <row r="450" spans="6:14">
      <c r="F450" s="199"/>
      <c r="G450" s="199"/>
      <c r="H450" s="199"/>
      <c r="I450" s="199"/>
      <c r="J450" s="199"/>
      <c r="K450" s="199"/>
      <c r="L450" s="199"/>
      <c r="M450" s="199"/>
      <c r="N450" s="199"/>
    </row>
    <row r="451" spans="6:14">
      <c r="F451" s="199"/>
      <c r="G451" s="199"/>
      <c r="H451" s="199"/>
      <c r="I451" s="199"/>
      <c r="J451" s="199"/>
      <c r="K451" s="199"/>
      <c r="L451" s="199"/>
      <c r="M451" s="199"/>
      <c r="N451" s="199"/>
    </row>
    <row r="452" spans="6:14">
      <c r="F452" s="199"/>
      <c r="G452" s="199"/>
      <c r="H452" s="199"/>
      <c r="I452" s="199"/>
      <c r="J452" s="199"/>
      <c r="K452" s="199"/>
      <c r="L452" s="199"/>
      <c r="M452" s="199"/>
      <c r="N452" s="199"/>
    </row>
    <row r="453" spans="6:14">
      <c r="F453" s="199"/>
      <c r="G453" s="199"/>
      <c r="H453" s="199"/>
      <c r="I453" s="199"/>
      <c r="J453" s="199"/>
      <c r="K453" s="199"/>
      <c r="L453" s="199"/>
      <c r="M453" s="199"/>
      <c r="N453" s="199"/>
    </row>
    <row r="454" spans="6:14">
      <c r="F454" s="199"/>
      <c r="G454" s="199"/>
      <c r="H454" s="199"/>
      <c r="I454" s="199"/>
      <c r="J454" s="199"/>
      <c r="K454" s="199"/>
      <c r="L454" s="199"/>
      <c r="M454" s="199"/>
      <c r="N454" s="199"/>
    </row>
    <row r="455" spans="6:14">
      <c r="F455" s="199"/>
      <c r="G455" s="199"/>
      <c r="H455" s="199"/>
      <c r="I455" s="199"/>
      <c r="J455" s="199"/>
      <c r="K455" s="199"/>
      <c r="L455" s="199"/>
      <c r="M455" s="199"/>
      <c r="N455" s="199"/>
    </row>
    <row r="456" spans="6:14">
      <c r="F456" s="199"/>
      <c r="G456" s="199"/>
      <c r="H456" s="199"/>
      <c r="I456" s="199"/>
      <c r="J456" s="199"/>
      <c r="K456" s="199"/>
      <c r="L456" s="199"/>
      <c r="M456" s="199"/>
      <c r="N456" s="199"/>
    </row>
    <row r="457" spans="6:14">
      <c r="F457" s="199"/>
      <c r="G457" s="199"/>
      <c r="H457" s="199"/>
      <c r="I457" s="199"/>
      <c r="J457" s="199"/>
      <c r="K457" s="199"/>
      <c r="L457" s="199"/>
      <c r="M457" s="199"/>
      <c r="N457" s="199"/>
    </row>
    <row r="458" spans="6:14">
      <c r="F458" s="199"/>
      <c r="G458" s="199"/>
      <c r="H458" s="199"/>
      <c r="I458" s="199"/>
      <c r="J458" s="199"/>
      <c r="K458" s="199"/>
      <c r="L458" s="199"/>
      <c r="M458" s="199"/>
      <c r="N458" s="199"/>
    </row>
    <row r="459" spans="6:14">
      <c r="F459" s="199"/>
      <c r="G459" s="199"/>
      <c r="H459" s="199"/>
      <c r="I459" s="199"/>
      <c r="J459" s="199"/>
      <c r="K459" s="199"/>
      <c r="L459" s="199"/>
      <c r="M459" s="199"/>
      <c r="N459" s="199"/>
    </row>
    <row r="460" spans="6:14">
      <c r="F460" s="199"/>
      <c r="G460" s="199"/>
      <c r="H460" s="199"/>
      <c r="I460" s="199"/>
      <c r="J460" s="199"/>
      <c r="K460" s="199"/>
      <c r="L460" s="199"/>
      <c r="M460" s="199"/>
      <c r="N460" s="199"/>
    </row>
    <row r="461" spans="6:14">
      <c r="F461" s="199"/>
      <c r="G461" s="199"/>
      <c r="H461" s="199"/>
      <c r="I461" s="199"/>
      <c r="J461" s="199"/>
      <c r="K461" s="199"/>
      <c r="L461" s="199"/>
      <c r="M461" s="199"/>
      <c r="N461" s="199"/>
    </row>
    <row r="462" spans="6:14">
      <c r="F462" s="199"/>
      <c r="G462" s="199"/>
      <c r="H462" s="199"/>
      <c r="I462" s="199"/>
      <c r="J462" s="199"/>
      <c r="K462" s="199"/>
      <c r="L462" s="199"/>
      <c r="M462" s="199"/>
      <c r="N462" s="199"/>
    </row>
    <row r="463" spans="6:14">
      <c r="F463" s="199"/>
      <c r="G463" s="199"/>
      <c r="H463" s="199"/>
      <c r="I463" s="199"/>
      <c r="J463" s="199"/>
      <c r="K463" s="199"/>
      <c r="L463" s="199"/>
      <c r="M463" s="199"/>
      <c r="N463" s="199"/>
    </row>
    <row r="464" spans="6:14">
      <c r="F464" s="199"/>
      <c r="G464" s="199"/>
      <c r="H464" s="199"/>
      <c r="I464" s="199"/>
      <c r="J464" s="199"/>
      <c r="K464" s="199"/>
      <c r="L464" s="199"/>
      <c r="M464" s="199"/>
      <c r="N464" s="199"/>
    </row>
    <row r="465" spans="6:14">
      <c r="F465" s="199"/>
      <c r="G465" s="199"/>
      <c r="H465" s="199"/>
      <c r="I465" s="199"/>
      <c r="J465" s="199"/>
      <c r="K465" s="199"/>
      <c r="L465" s="199"/>
      <c r="M465" s="199"/>
      <c r="N465" s="199"/>
    </row>
    <row r="466" spans="6:14">
      <c r="F466" s="199"/>
      <c r="G466" s="199"/>
      <c r="H466" s="199"/>
      <c r="I466" s="199"/>
      <c r="J466" s="199"/>
      <c r="K466" s="199"/>
      <c r="L466" s="199"/>
      <c r="M466" s="199"/>
      <c r="N466" s="199"/>
    </row>
    <row r="467" spans="6:14">
      <c r="F467" s="199"/>
      <c r="G467" s="199"/>
      <c r="H467" s="199"/>
      <c r="I467" s="199"/>
      <c r="J467" s="199"/>
      <c r="K467" s="199"/>
      <c r="L467" s="199"/>
      <c r="M467" s="199"/>
      <c r="N467" s="199"/>
    </row>
    <row r="468" spans="6:14">
      <c r="F468" s="199"/>
      <c r="G468" s="199"/>
      <c r="H468" s="199"/>
      <c r="I468" s="199"/>
      <c r="J468" s="199"/>
      <c r="K468" s="199"/>
      <c r="L468" s="199"/>
      <c r="M468" s="199"/>
      <c r="N468" s="199"/>
    </row>
    <row r="469" spans="6:14">
      <c r="F469" s="199"/>
      <c r="G469" s="199"/>
      <c r="H469" s="199"/>
      <c r="I469" s="199"/>
      <c r="J469" s="199"/>
      <c r="K469" s="199"/>
      <c r="L469" s="199"/>
      <c r="M469" s="199"/>
      <c r="N469" s="199"/>
    </row>
    <row r="470" spans="6:14">
      <c r="F470" s="199"/>
      <c r="G470" s="199"/>
      <c r="H470" s="199"/>
      <c r="I470" s="199"/>
      <c r="J470" s="199"/>
      <c r="K470" s="199"/>
      <c r="L470" s="199"/>
      <c r="M470" s="199"/>
      <c r="N470" s="199"/>
    </row>
    <row r="471" spans="6:14">
      <c r="F471" s="199"/>
      <c r="G471" s="199"/>
      <c r="H471" s="199"/>
      <c r="I471" s="199"/>
      <c r="J471" s="199"/>
      <c r="K471" s="199"/>
      <c r="L471" s="199"/>
      <c r="M471" s="199"/>
      <c r="N471" s="199"/>
    </row>
    <row r="472" spans="6:14">
      <c r="F472" s="199"/>
      <c r="G472" s="199"/>
      <c r="H472" s="199"/>
      <c r="I472" s="199"/>
      <c r="J472" s="199"/>
      <c r="K472" s="199"/>
      <c r="L472" s="199"/>
      <c r="M472" s="199"/>
      <c r="N472" s="199"/>
    </row>
    <row r="473" spans="6:14">
      <c r="F473" s="199"/>
      <c r="G473" s="199"/>
      <c r="H473" s="199"/>
      <c r="I473" s="199"/>
      <c r="J473" s="199"/>
      <c r="K473" s="199"/>
      <c r="L473" s="199"/>
      <c r="M473" s="199"/>
      <c r="N473" s="199"/>
    </row>
    <row r="474" spans="6:14">
      <c r="F474" s="199"/>
      <c r="G474" s="199"/>
      <c r="H474" s="199"/>
      <c r="I474" s="199"/>
      <c r="J474" s="199"/>
      <c r="K474" s="199"/>
      <c r="L474" s="199"/>
      <c r="M474" s="199"/>
      <c r="N474" s="199"/>
    </row>
    <row r="475" spans="6:14">
      <c r="F475" s="199"/>
      <c r="G475" s="199"/>
      <c r="H475" s="199"/>
      <c r="I475" s="199"/>
      <c r="J475" s="199"/>
      <c r="K475" s="199"/>
      <c r="L475" s="199"/>
      <c r="M475" s="199"/>
      <c r="N475" s="199"/>
    </row>
    <row r="476" spans="6:14">
      <c r="F476" s="199"/>
      <c r="G476" s="199"/>
      <c r="H476" s="199"/>
      <c r="I476" s="199"/>
      <c r="J476" s="199"/>
      <c r="K476" s="199"/>
      <c r="L476" s="199"/>
      <c r="M476" s="199"/>
      <c r="N476" s="199"/>
    </row>
    <row r="477" spans="6:14">
      <c r="F477" s="199"/>
      <c r="G477" s="199"/>
      <c r="H477" s="199"/>
      <c r="I477" s="199"/>
      <c r="J477" s="199"/>
      <c r="K477" s="199"/>
      <c r="L477" s="199"/>
      <c r="M477" s="199"/>
      <c r="N477" s="199"/>
    </row>
    <row r="478" spans="6:14">
      <c r="F478" s="199"/>
      <c r="G478" s="199"/>
      <c r="H478" s="199"/>
      <c r="I478" s="199"/>
      <c r="J478" s="199"/>
      <c r="K478" s="199"/>
      <c r="L478" s="199"/>
      <c r="M478" s="199"/>
      <c r="N478" s="199"/>
    </row>
    <row r="479" spans="6:14">
      <c r="F479" s="199"/>
      <c r="G479" s="199"/>
      <c r="H479" s="199"/>
      <c r="I479" s="199"/>
      <c r="J479" s="199"/>
      <c r="K479" s="199"/>
      <c r="L479" s="199"/>
      <c r="M479" s="199"/>
      <c r="N479" s="199"/>
    </row>
    <row r="480" spans="6:14">
      <c r="F480" s="199"/>
      <c r="G480" s="199"/>
      <c r="H480" s="199"/>
      <c r="I480" s="199"/>
      <c r="J480" s="199"/>
      <c r="K480" s="199"/>
      <c r="L480" s="199"/>
      <c r="M480" s="199"/>
      <c r="N480" s="199"/>
    </row>
    <row r="481" spans="6:14">
      <c r="F481" s="199"/>
      <c r="G481" s="199"/>
      <c r="H481" s="199"/>
      <c r="I481" s="199"/>
      <c r="J481" s="199"/>
      <c r="K481" s="199"/>
      <c r="L481" s="199"/>
      <c r="M481" s="199"/>
      <c r="N481" s="199"/>
    </row>
    <row r="482" spans="6:14">
      <c r="F482" s="199"/>
      <c r="G482" s="199"/>
      <c r="H482" s="199"/>
      <c r="I482" s="199"/>
      <c r="J482" s="199"/>
      <c r="K482" s="199"/>
      <c r="L482" s="199"/>
      <c r="M482" s="199"/>
      <c r="N482" s="199"/>
    </row>
    <row r="483" spans="6:14">
      <c r="F483" s="199"/>
      <c r="G483" s="199"/>
      <c r="H483" s="199"/>
      <c r="I483" s="199"/>
      <c r="J483" s="199"/>
      <c r="K483" s="199"/>
      <c r="L483" s="199"/>
      <c r="M483" s="199"/>
      <c r="N483" s="199"/>
    </row>
    <row r="484" spans="6:14">
      <c r="F484" s="199"/>
      <c r="G484" s="199"/>
      <c r="H484" s="199"/>
      <c r="I484" s="199"/>
      <c r="J484" s="199"/>
      <c r="K484" s="199"/>
      <c r="L484" s="199"/>
      <c r="M484" s="199"/>
      <c r="N484" s="199"/>
    </row>
    <row r="485" spans="6:14">
      <c r="F485" s="199"/>
      <c r="G485" s="199"/>
      <c r="H485" s="199"/>
      <c r="I485" s="199"/>
      <c r="J485" s="199"/>
      <c r="K485" s="199"/>
      <c r="L485" s="199"/>
      <c r="M485" s="199"/>
      <c r="N485" s="199"/>
    </row>
    <row r="486" spans="6:14">
      <c r="F486" s="199"/>
      <c r="G486" s="199"/>
      <c r="H486" s="199"/>
      <c r="I486" s="199"/>
      <c r="J486" s="199"/>
      <c r="K486" s="199"/>
      <c r="L486" s="199"/>
      <c r="M486" s="199"/>
      <c r="N486" s="199"/>
    </row>
    <row r="487" spans="6:14">
      <c r="F487" s="199"/>
      <c r="G487" s="199"/>
      <c r="H487" s="199"/>
      <c r="I487" s="199"/>
      <c r="J487" s="199"/>
      <c r="K487" s="199"/>
      <c r="L487" s="199"/>
      <c r="M487" s="199"/>
      <c r="N487" s="199"/>
    </row>
    <row r="488" spans="6:14">
      <c r="F488" s="199"/>
      <c r="G488" s="199"/>
      <c r="H488" s="199"/>
      <c r="I488" s="199"/>
      <c r="J488" s="199"/>
      <c r="K488" s="199"/>
      <c r="L488" s="199"/>
      <c r="M488" s="199"/>
      <c r="N488" s="199"/>
    </row>
    <row r="489" spans="6:14">
      <c r="F489" s="199"/>
      <c r="G489" s="199"/>
      <c r="H489" s="199"/>
      <c r="I489" s="199"/>
      <c r="J489" s="199"/>
      <c r="K489" s="199"/>
      <c r="L489" s="199"/>
      <c r="M489" s="199"/>
      <c r="N489" s="199"/>
    </row>
    <row r="490" spans="6:14">
      <c r="F490" s="199"/>
      <c r="G490" s="199"/>
      <c r="H490" s="199"/>
      <c r="I490" s="199"/>
      <c r="J490" s="199"/>
      <c r="K490" s="199"/>
      <c r="L490" s="199"/>
      <c r="M490" s="199"/>
      <c r="N490" s="199"/>
    </row>
    <row r="491" spans="6:14">
      <c r="F491" s="199"/>
      <c r="G491" s="199"/>
      <c r="H491" s="199"/>
      <c r="I491" s="199"/>
      <c r="J491" s="199"/>
      <c r="K491" s="199"/>
      <c r="L491" s="199"/>
      <c r="M491" s="199"/>
      <c r="N491" s="199"/>
    </row>
    <row r="492" spans="6:14">
      <c r="F492" s="199"/>
      <c r="G492" s="199"/>
      <c r="H492" s="199"/>
      <c r="I492" s="199"/>
      <c r="J492" s="199"/>
      <c r="K492" s="199"/>
      <c r="L492" s="199"/>
      <c r="M492" s="199"/>
      <c r="N492" s="199"/>
    </row>
    <row r="493" spans="6:14">
      <c r="F493" s="199"/>
      <c r="G493" s="199"/>
      <c r="H493" s="199"/>
      <c r="I493" s="199"/>
      <c r="J493" s="199"/>
      <c r="K493" s="199"/>
      <c r="L493" s="199"/>
      <c r="M493" s="199"/>
      <c r="N493" s="199"/>
    </row>
    <row r="494" spans="6:14">
      <c r="F494" s="199"/>
      <c r="G494" s="199"/>
      <c r="H494" s="199"/>
      <c r="I494" s="199"/>
      <c r="J494" s="199"/>
      <c r="K494" s="199"/>
      <c r="L494" s="199"/>
      <c r="M494" s="199"/>
      <c r="N494" s="199"/>
    </row>
    <row r="495" spans="6:14">
      <c r="F495" s="199"/>
      <c r="G495" s="199"/>
      <c r="H495" s="199"/>
      <c r="I495" s="199"/>
      <c r="J495" s="199"/>
      <c r="K495" s="199"/>
      <c r="L495" s="199"/>
      <c r="M495" s="199"/>
      <c r="N495" s="199"/>
    </row>
    <row r="496" spans="6:14">
      <c r="F496" s="199"/>
      <c r="G496" s="199"/>
      <c r="H496" s="199"/>
      <c r="I496" s="199"/>
      <c r="J496" s="199"/>
      <c r="K496" s="199"/>
      <c r="L496" s="199"/>
      <c r="M496" s="199"/>
      <c r="N496" s="199"/>
    </row>
    <row r="497" spans="6:14">
      <c r="F497" s="199"/>
      <c r="G497" s="199"/>
      <c r="H497" s="199"/>
      <c r="I497" s="199"/>
      <c r="J497" s="199"/>
      <c r="K497" s="199"/>
      <c r="L497" s="199"/>
      <c r="M497" s="199"/>
      <c r="N497" s="199"/>
    </row>
    <row r="498" spans="6:14">
      <c r="F498" s="199"/>
      <c r="G498" s="199"/>
      <c r="H498" s="199"/>
      <c r="I498" s="199"/>
      <c r="J498" s="199"/>
      <c r="K498" s="199"/>
      <c r="L498" s="199"/>
      <c r="M498" s="199"/>
      <c r="N498" s="199"/>
    </row>
    <row r="499" spans="6:14">
      <c r="F499" s="199"/>
      <c r="G499" s="199"/>
      <c r="H499" s="199"/>
      <c r="I499" s="199"/>
      <c r="J499" s="199"/>
      <c r="K499" s="199"/>
      <c r="L499" s="199"/>
      <c r="M499" s="199"/>
      <c r="N499" s="199"/>
    </row>
    <row r="500" spans="6:14">
      <c r="F500" s="199"/>
      <c r="G500" s="199"/>
      <c r="H500" s="199"/>
      <c r="I500" s="199"/>
      <c r="J500" s="199"/>
      <c r="K500" s="199"/>
      <c r="L500" s="199"/>
      <c r="M500" s="199"/>
      <c r="N500" s="199"/>
    </row>
    <row r="501" spans="6:14">
      <c r="F501" s="199"/>
      <c r="G501" s="199"/>
      <c r="H501" s="199"/>
      <c r="I501" s="199"/>
      <c r="J501" s="199"/>
      <c r="K501" s="199"/>
      <c r="L501" s="199"/>
      <c r="M501" s="199"/>
      <c r="N501" s="199"/>
    </row>
    <row r="502" spans="6:14">
      <c r="F502" s="199"/>
      <c r="G502" s="199"/>
      <c r="H502" s="199"/>
      <c r="I502" s="199"/>
      <c r="J502" s="199"/>
      <c r="K502" s="199"/>
      <c r="L502" s="199"/>
      <c r="M502" s="199"/>
      <c r="N502" s="199"/>
    </row>
    <row r="503" spans="6:14">
      <c r="F503" s="199"/>
      <c r="G503" s="199"/>
      <c r="H503" s="199"/>
      <c r="I503" s="199"/>
      <c r="J503" s="199"/>
      <c r="K503" s="199"/>
      <c r="L503" s="199"/>
      <c r="M503" s="199"/>
      <c r="N503" s="199"/>
    </row>
    <row r="504" spans="6:14">
      <c r="F504" s="199"/>
      <c r="G504" s="199"/>
      <c r="H504" s="199"/>
      <c r="I504" s="199"/>
      <c r="J504" s="199"/>
      <c r="K504" s="199"/>
      <c r="L504" s="199"/>
      <c r="M504" s="199"/>
      <c r="N504" s="199"/>
    </row>
    <row r="505" spans="6:14">
      <c r="F505" s="199"/>
      <c r="G505" s="199"/>
      <c r="H505" s="199"/>
      <c r="I505" s="199"/>
      <c r="J505" s="199"/>
      <c r="K505" s="199"/>
      <c r="L505" s="199"/>
      <c r="M505" s="199"/>
      <c r="N505" s="199"/>
    </row>
    <row r="506" spans="6:14">
      <c r="F506" s="199"/>
      <c r="G506" s="199"/>
      <c r="H506" s="199"/>
      <c r="I506" s="199"/>
      <c r="J506" s="199"/>
      <c r="K506" s="199"/>
      <c r="L506" s="199"/>
      <c r="M506" s="199"/>
      <c r="N506" s="199"/>
    </row>
    <row r="507" spans="6:14">
      <c r="F507" s="199"/>
      <c r="G507" s="199"/>
      <c r="H507" s="199"/>
      <c r="I507" s="199"/>
      <c r="J507" s="199"/>
      <c r="K507" s="199"/>
      <c r="L507" s="199"/>
      <c r="M507" s="199"/>
      <c r="N507" s="199"/>
    </row>
    <row r="508" spans="6:14">
      <c r="F508" s="199"/>
      <c r="G508" s="199"/>
      <c r="H508" s="199"/>
      <c r="I508" s="199"/>
      <c r="J508" s="199"/>
      <c r="K508" s="199"/>
      <c r="L508" s="199"/>
      <c r="M508" s="199"/>
      <c r="N508" s="199"/>
    </row>
    <row r="509" spans="6:14">
      <c r="F509" s="199"/>
      <c r="G509" s="199"/>
      <c r="H509" s="199"/>
      <c r="I509" s="199"/>
      <c r="J509" s="199"/>
      <c r="K509" s="199"/>
      <c r="L509" s="199"/>
      <c r="M509" s="199"/>
      <c r="N509" s="199"/>
    </row>
    <row r="510" spans="6:14">
      <c r="F510" s="199"/>
      <c r="G510" s="199"/>
      <c r="H510" s="199"/>
      <c r="I510" s="199"/>
      <c r="J510" s="199"/>
      <c r="K510" s="199"/>
      <c r="L510" s="199"/>
      <c r="M510" s="199"/>
      <c r="N510" s="199"/>
    </row>
    <row r="511" spans="6:14">
      <c r="F511" s="199"/>
      <c r="G511" s="199"/>
      <c r="H511" s="199"/>
      <c r="I511" s="199"/>
      <c r="J511" s="199"/>
      <c r="K511" s="199"/>
      <c r="L511" s="199"/>
      <c r="M511" s="199"/>
      <c r="N511" s="199"/>
    </row>
    <row r="512" spans="6:14">
      <c r="F512" s="199"/>
      <c r="G512" s="199"/>
      <c r="H512" s="199"/>
      <c r="I512" s="199"/>
      <c r="J512" s="199"/>
      <c r="K512" s="199"/>
      <c r="L512" s="199"/>
      <c r="M512" s="199"/>
      <c r="N512" s="199"/>
    </row>
    <row r="513" spans="6:14">
      <c r="F513" s="199"/>
      <c r="G513" s="199"/>
      <c r="H513" s="199"/>
      <c r="I513" s="199"/>
      <c r="J513" s="199"/>
      <c r="K513" s="199"/>
      <c r="L513" s="199"/>
      <c r="M513" s="199"/>
      <c r="N513" s="199"/>
    </row>
    <row r="514" spans="6:14">
      <c r="F514" s="199"/>
      <c r="G514" s="199"/>
      <c r="H514" s="199"/>
      <c r="I514" s="199"/>
      <c r="J514" s="199"/>
      <c r="K514" s="199"/>
      <c r="L514" s="199"/>
      <c r="M514" s="199"/>
      <c r="N514" s="199"/>
    </row>
    <row r="515" spans="6:14">
      <c r="F515" s="199"/>
      <c r="G515" s="199"/>
      <c r="H515" s="199"/>
      <c r="I515" s="199"/>
      <c r="J515" s="199"/>
      <c r="K515" s="199"/>
      <c r="L515" s="199"/>
      <c r="M515" s="199"/>
      <c r="N515" s="199"/>
    </row>
    <row r="516" spans="6:14">
      <c r="F516" s="199"/>
      <c r="G516" s="199"/>
      <c r="H516" s="199"/>
      <c r="I516" s="199"/>
      <c r="J516" s="199"/>
      <c r="K516" s="199"/>
      <c r="L516" s="199"/>
      <c r="M516" s="199"/>
      <c r="N516" s="199"/>
    </row>
    <row r="517" spans="6:14">
      <c r="F517" s="199"/>
      <c r="G517" s="199"/>
      <c r="H517" s="199"/>
      <c r="I517" s="199"/>
      <c r="J517" s="199"/>
      <c r="K517" s="199"/>
      <c r="L517" s="199"/>
      <c r="M517" s="199"/>
      <c r="N517" s="199"/>
    </row>
    <row r="518" spans="6:14">
      <c r="F518" s="199"/>
      <c r="G518" s="199"/>
      <c r="H518" s="199"/>
      <c r="I518" s="199"/>
      <c r="J518" s="199"/>
      <c r="K518" s="199"/>
      <c r="L518" s="199"/>
      <c r="M518" s="199"/>
      <c r="N518" s="199"/>
    </row>
    <row r="519" spans="6:14">
      <c r="F519" s="199"/>
      <c r="G519" s="199"/>
      <c r="H519" s="199"/>
      <c r="I519" s="199"/>
      <c r="J519" s="199"/>
      <c r="K519" s="199"/>
      <c r="L519" s="199"/>
      <c r="M519" s="199"/>
      <c r="N519" s="199"/>
    </row>
    <row r="520" spans="6:14">
      <c r="F520" s="199"/>
      <c r="G520" s="199"/>
      <c r="H520" s="199"/>
      <c r="I520" s="199"/>
      <c r="J520" s="199"/>
      <c r="K520" s="199"/>
      <c r="L520" s="199"/>
      <c r="M520" s="199"/>
      <c r="N520" s="199"/>
    </row>
    <row r="521" spans="6:14">
      <c r="F521" s="199"/>
      <c r="G521" s="199"/>
      <c r="H521" s="199"/>
      <c r="I521" s="199"/>
      <c r="J521" s="199"/>
      <c r="K521" s="199"/>
      <c r="L521" s="199"/>
      <c r="M521" s="199"/>
      <c r="N521" s="199"/>
    </row>
    <row r="522" spans="6:14">
      <c r="F522" s="199"/>
      <c r="G522" s="199"/>
      <c r="H522" s="199"/>
      <c r="I522" s="199"/>
      <c r="J522" s="199"/>
      <c r="K522" s="199"/>
      <c r="L522" s="199"/>
      <c r="M522" s="199"/>
      <c r="N522" s="199"/>
    </row>
    <row r="523" spans="6:14">
      <c r="F523" s="199"/>
      <c r="G523" s="199"/>
      <c r="H523" s="199"/>
      <c r="I523" s="199"/>
      <c r="J523" s="199"/>
      <c r="K523" s="199"/>
      <c r="L523" s="199"/>
      <c r="M523" s="199"/>
      <c r="N523" s="199"/>
    </row>
    <row r="524" spans="6:14">
      <c r="F524" s="199"/>
      <c r="G524" s="199"/>
      <c r="H524" s="199"/>
      <c r="I524" s="199"/>
      <c r="J524" s="199"/>
      <c r="K524" s="199"/>
      <c r="L524" s="199"/>
      <c r="M524" s="199"/>
      <c r="N524" s="199"/>
    </row>
    <row r="525" spans="6:14">
      <c r="F525" s="199"/>
      <c r="G525" s="199"/>
      <c r="H525" s="199"/>
      <c r="I525" s="199"/>
      <c r="J525" s="199"/>
      <c r="K525" s="199"/>
      <c r="L525" s="199"/>
      <c r="M525" s="199"/>
      <c r="N525" s="199"/>
    </row>
    <row r="526" spans="6:14">
      <c r="F526" s="199"/>
      <c r="G526" s="199"/>
      <c r="H526" s="199"/>
      <c r="I526" s="199"/>
      <c r="J526" s="199"/>
      <c r="K526" s="199"/>
      <c r="L526" s="199"/>
      <c r="M526" s="199"/>
      <c r="N526" s="199"/>
    </row>
    <row r="527" spans="6:14">
      <c r="F527" s="199"/>
      <c r="G527" s="199"/>
      <c r="H527" s="199"/>
      <c r="I527" s="199"/>
      <c r="J527" s="199"/>
      <c r="K527" s="199"/>
      <c r="L527" s="199"/>
      <c r="M527" s="199"/>
      <c r="N527" s="199"/>
    </row>
    <row r="528" spans="6:14">
      <c r="F528" s="199"/>
      <c r="G528" s="199"/>
      <c r="H528" s="199"/>
      <c r="I528" s="199"/>
      <c r="J528" s="199"/>
      <c r="K528" s="199"/>
      <c r="L528" s="199"/>
      <c r="M528" s="199"/>
      <c r="N528" s="199"/>
    </row>
    <row r="529" spans="6:14">
      <c r="F529" s="199"/>
      <c r="G529" s="199"/>
      <c r="H529" s="199"/>
      <c r="I529" s="199"/>
      <c r="J529" s="199"/>
      <c r="K529" s="199"/>
      <c r="L529" s="199"/>
      <c r="M529" s="199"/>
      <c r="N529" s="199"/>
    </row>
    <row r="530" spans="6:14">
      <c r="F530" s="199"/>
      <c r="G530" s="199"/>
      <c r="H530" s="199"/>
      <c r="I530" s="199"/>
      <c r="J530" s="199"/>
      <c r="K530" s="199"/>
      <c r="L530" s="199"/>
      <c r="M530" s="199"/>
      <c r="N530" s="199"/>
    </row>
    <row r="531" spans="6:14">
      <c r="F531" s="199"/>
      <c r="G531" s="199"/>
      <c r="H531" s="199"/>
      <c r="I531" s="199"/>
      <c r="J531" s="199"/>
      <c r="K531" s="199"/>
      <c r="L531" s="199"/>
      <c r="M531" s="199"/>
      <c r="N531" s="199"/>
    </row>
    <row r="532" spans="6:14">
      <c r="F532" s="199"/>
      <c r="G532" s="199"/>
      <c r="H532" s="199"/>
      <c r="I532" s="199"/>
      <c r="J532" s="199"/>
      <c r="K532" s="199"/>
      <c r="L532" s="199"/>
      <c r="M532" s="199"/>
      <c r="N532" s="199"/>
    </row>
    <row r="533" spans="6:14">
      <c r="F533" s="199"/>
      <c r="G533" s="199"/>
      <c r="H533" s="199"/>
      <c r="I533" s="199"/>
      <c r="J533" s="199"/>
      <c r="K533" s="199"/>
      <c r="L533" s="199"/>
      <c r="M533" s="199"/>
      <c r="N533" s="199"/>
    </row>
    <row r="534" spans="6:14">
      <c r="F534" s="199"/>
      <c r="G534" s="199"/>
      <c r="H534" s="199"/>
      <c r="I534" s="199"/>
      <c r="J534" s="199"/>
      <c r="K534" s="199"/>
      <c r="L534" s="199"/>
      <c r="M534" s="199"/>
      <c r="N534" s="199"/>
    </row>
    <row r="535" spans="6:14">
      <c r="F535" s="199"/>
      <c r="G535" s="199"/>
      <c r="H535" s="199"/>
      <c r="I535" s="199"/>
      <c r="J535" s="199"/>
      <c r="K535" s="199"/>
      <c r="L535" s="199"/>
      <c r="M535" s="199"/>
      <c r="N535" s="199"/>
    </row>
    <row r="536" spans="6:14">
      <c r="F536" s="199"/>
      <c r="G536" s="199"/>
      <c r="H536" s="199"/>
      <c r="I536" s="199"/>
      <c r="J536" s="199"/>
      <c r="K536" s="199"/>
      <c r="L536" s="199"/>
      <c r="M536" s="199"/>
      <c r="N536" s="199"/>
    </row>
    <row r="537" spans="6:14">
      <c r="F537" s="199"/>
      <c r="G537" s="199"/>
      <c r="H537" s="199"/>
      <c r="I537" s="199"/>
      <c r="J537" s="199"/>
      <c r="K537" s="199"/>
      <c r="L537" s="199"/>
      <c r="M537" s="199"/>
      <c r="N537" s="199"/>
    </row>
    <row r="538" spans="6:14">
      <c r="F538" s="199"/>
      <c r="G538" s="199"/>
      <c r="H538" s="199"/>
      <c r="I538" s="199"/>
      <c r="J538" s="199"/>
      <c r="K538" s="199"/>
      <c r="L538" s="199"/>
      <c r="M538" s="199"/>
      <c r="N538" s="199"/>
    </row>
    <row r="539" spans="6:14">
      <c r="F539" s="199"/>
      <c r="G539" s="199"/>
      <c r="H539" s="199"/>
      <c r="I539" s="199"/>
      <c r="J539" s="199"/>
      <c r="K539" s="199"/>
      <c r="L539" s="199"/>
      <c r="M539" s="199"/>
      <c r="N539" s="199"/>
    </row>
    <row r="540" spans="6:14">
      <c r="F540" s="199"/>
      <c r="G540" s="199"/>
      <c r="H540" s="199"/>
      <c r="I540" s="199"/>
      <c r="J540" s="199"/>
      <c r="K540" s="199"/>
      <c r="L540" s="199"/>
      <c r="M540" s="199"/>
      <c r="N540" s="199"/>
    </row>
    <row r="541" spans="6:14">
      <c r="F541" s="199"/>
      <c r="G541" s="199"/>
      <c r="H541" s="199"/>
      <c r="I541" s="199"/>
      <c r="J541" s="199"/>
      <c r="K541" s="199"/>
      <c r="L541" s="199"/>
      <c r="M541" s="199"/>
      <c r="N541" s="199"/>
    </row>
    <row r="542" spans="6:14">
      <c r="F542" s="199"/>
      <c r="G542" s="199"/>
      <c r="H542" s="199"/>
      <c r="I542" s="199"/>
      <c r="J542" s="199"/>
      <c r="K542" s="199"/>
      <c r="L542" s="199"/>
      <c r="M542" s="199"/>
      <c r="N542" s="199"/>
    </row>
    <row r="543" spans="6:14">
      <c r="F543" s="199"/>
      <c r="G543" s="199"/>
      <c r="H543" s="199"/>
      <c r="I543" s="199"/>
      <c r="J543" s="199"/>
      <c r="K543" s="199"/>
      <c r="L543" s="199"/>
      <c r="M543" s="199"/>
      <c r="N543" s="199"/>
    </row>
    <row r="544" spans="6:14">
      <c r="F544" s="199"/>
      <c r="G544" s="199"/>
      <c r="H544" s="199"/>
      <c r="I544" s="199"/>
      <c r="J544" s="199"/>
      <c r="K544" s="199"/>
      <c r="L544" s="199"/>
      <c r="M544" s="199"/>
      <c r="N544" s="199"/>
    </row>
    <row r="545" spans="6:14">
      <c r="F545" s="199"/>
      <c r="G545" s="199"/>
      <c r="H545" s="199"/>
      <c r="I545" s="199"/>
      <c r="J545" s="199"/>
      <c r="K545" s="199"/>
      <c r="L545" s="199"/>
      <c r="M545" s="199"/>
      <c r="N545" s="199"/>
    </row>
    <row r="546" spans="6:14">
      <c r="F546" s="199"/>
      <c r="G546" s="199"/>
      <c r="H546" s="199"/>
      <c r="I546" s="199"/>
      <c r="J546" s="199"/>
      <c r="K546" s="199"/>
      <c r="L546" s="199"/>
      <c r="M546" s="199"/>
      <c r="N546" s="199"/>
    </row>
    <row r="547" spans="6:14">
      <c r="F547" s="199"/>
      <c r="G547" s="199"/>
      <c r="H547" s="199"/>
      <c r="I547" s="199"/>
      <c r="J547" s="199"/>
      <c r="K547" s="199"/>
      <c r="L547" s="199"/>
      <c r="M547" s="199"/>
      <c r="N547" s="199"/>
    </row>
    <row r="548" spans="6:14">
      <c r="F548" s="199"/>
      <c r="G548" s="199"/>
      <c r="H548" s="199"/>
      <c r="I548" s="199"/>
      <c r="J548" s="199"/>
      <c r="K548" s="199"/>
      <c r="L548" s="199"/>
      <c r="M548" s="199"/>
      <c r="N548" s="199"/>
    </row>
    <row r="549" spans="6:14">
      <c r="F549" s="199"/>
      <c r="G549" s="199"/>
      <c r="H549" s="199"/>
      <c r="I549" s="199"/>
      <c r="J549" s="199"/>
      <c r="K549" s="199"/>
      <c r="L549" s="199"/>
      <c r="M549" s="199"/>
      <c r="N549" s="199"/>
    </row>
    <row r="550" spans="6:14">
      <c r="F550" s="199"/>
      <c r="G550" s="199"/>
      <c r="H550" s="199"/>
      <c r="I550" s="199"/>
      <c r="J550" s="199"/>
      <c r="K550" s="199"/>
      <c r="L550" s="199"/>
      <c r="M550" s="199"/>
      <c r="N550" s="199"/>
    </row>
    <row r="551" spans="6:14">
      <c r="F551" s="199"/>
      <c r="G551" s="199"/>
      <c r="H551" s="199"/>
      <c r="I551" s="199"/>
      <c r="J551" s="199"/>
      <c r="K551" s="199"/>
      <c r="L551" s="199"/>
      <c r="M551" s="199"/>
      <c r="N551" s="199"/>
    </row>
    <row r="552" spans="6:14">
      <c r="F552" s="199"/>
      <c r="G552" s="199"/>
      <c r="H552" s="199"/>
      <c r="I552" s="199"/>
      <c r="J552" s="199"/>
      <c r="K552" s="199"/>
      <c r="L552" s="199"/>
      <c r="M552" s="199"/>
      <c r="N552" s="199"/>
    </row>
    <row r="553" spans="6:14">
      <c r="F553" s="199"/>
      <c r="G553" s="199"/>
      <c r="H553" s="199"/>
      <c r="I553" s="199"/>
      <c r="J553" s="199"/>
      <c r="K553" s="199"/>
      <c r="L553" s="199"/>
      <c r="M553" s="199"/>
      <c r="N553" s="199"/>
    </row>
    <row r="554" spans="6:14">
      <c r="F554" s="199"/>
      <c r="G554" s="199"/>
      <c r="H554" s="199"/>
      <c r="I554" s="199"/>
      <c r="J554" s="199"/>
      <c r="K554" s="199"/>
      <c r="L554" s="199"/>
      <c r="M554" s="199"/>
      <c r="N554" s="199"/>
    </row>
    <row r="555" spans="6:14">
      <c r="F555" s="199"/>
      <c r="G555" s="199"/>
      <c r="H555" s="199"/>
      <c r="I555" s="199"/>
      <c r="J555" s="199"/>
      <c r="K555" s="199"/>
      <c r="L555" s="199"/>
      <c r="M555" s="199"/>
      <c r="N555" s="199"/>
    </row>
    <row r="556" spans="6:14">
      <c r="F556" s="199"/>
      <c r="G556" s="199"/>
      <c r="H556" s="199"/>
      <c r="I556" s="199"/>
      <c r="J556" s="199"/>
      <c r="K556" s="199"/>
      <c r="L556" s="199"/>
      <c r="M556" s="199"/>
      <c r="N556" s="199"/>
    </row>
    <row r="557" spans="6:14">
      <c r="F557" s="199"/>
      <c r="G557" s="199"/>
      <c r="H557" s="199"/>
      <c r="I557" s="199"/>
      <c r="J557" s="199"/>
      <c r="K557" s="199"/>
      <c r="L557" s="199"/>
      <c r="M557" s="199"/>
      <c r="N557" s="199"/>
    </row>
    <row r="558" spans="6:14">
      <c r="F558" s="199"/>
      <c r="G558" s="199"/>
      <c r="H558" s="199"/>
      <c r="I558" s="199"/>
      <c r="J558" s="199"/>
      <c r="K558" s="199"/>
      <c r="L558" s="199"/>
      <c r="M558" s="199"/>
      <c r="N558" s="199"/>
    </row>
    <row r="559" spans="6:14">
      <c r="F559" s="199"/>
      <c r="G559" s="199"/>
      <c r="H559" s="199"/>
      <c r="I559" s="199"/>
      <c r="J559" s="199"/>
      <c r="K559" s="199"/>
      <c r="L559" s="199"/>
      <c r="M559" s="199"/>
      <c r="N559" s="199"/>
    </row>
    <row r="560" spans="6:14">
      <c r="F560" s="199"/>
      <c r="G560" s="199"/>
      <c r="H560" s="199"/>
      <c r="I560" s="199"/>
      <c r="J560" s="199"/>
      <c r="K560" s="199"/>
      <c r="L560" s="199"/>
      <c r="M560" s="199"/>
      <c r="N560" s="199"/>
    </row>
    <row r="561" spans="6:14">
      <c r="F561" s="199"/>
      <c r="G561" s="199"/>
      <c r="H561" s="199"/>
      <c r="I561" s="199"/>
      <c r="J561" s="199"/>
      <c r="K561" s="199"/>
      <c r="L561" s="199"/>
      <c r="M561" s="199"/>
      <c r="N561" s="199"/>
    </row>
    <row r="562" spans="6:14">
      <c r="F562" s="199"/>
      <c r="G562" s="199"/>
      <c r="H562" s="199"/>
      <c r="I562" s="199"/>
      <c r="J562" s="199"/>
      <c r="K562" s="199"/>
      <c r="L562" s="199"/>
      <c r="M562" s="199"/>
      <c r="N562" s="199"/>
    </row>
    <row r="563" spans="6:14">
      <c r="F563" s="199"/>
      <c r="G563" s="199"/>
      <c r="H563" s="199"/>
      <c r="I563" s="199"/>
      <c r="J563" s="199"/>
      <c r="K563" s="199"/>
      <c r="L563" s="199"/>
      <c r="M563" s="199"/>
      <c r="N563" s="199"/>
    </row>
    <row r="564" spans="6:14">
      <c r="F564" s="199"/>
      <c r="G564" s="199"/>
      <c r="H564" s="199"/>
      <c r="I564" s="199"/>
      <c r="J564" s="199"/>
      <c r="K564" s="199"/>
      <c r="L564" s="199"/>
      <c r="M564" s="199"/>
      <c r="N564" s="199"/>
    </row>
    <row r="565" spans="6:14">
      <c r="F565" s="199"/>
      <c r="G565" s="199"/>
      <c r="H565" s="199"/>
      <c r="I565" s="199"/>
      <c r="J565" s="199"/>
      <c r="K565" s="199"/>
      <c r="L565" s="199"/>
      <c r="M565" s="199"/>
      <c r="N565" s="199"/>
    </row>
    <row r="566" spans="6:14">
      <c r="F566" s="199"/>
      <c r="G566" s="199"/>
      <c r="H566" s="199"/>
      <c r="I566" s="199"/>
      <c r="J566" s="199"/>
      <c r="K566" s="199"/>
      <c r="L566" s="199"/>
      <c r="M566" s="199"/>
      <c r="N566" s="199"/>
    </row>
    <row r="567" spans="6:14">
      <c r="F567" s="199"/>
      <c r="G567" s="199"/>
      <c r="H567" s="199"/>
      <c r="I567" s="199"/>
      <c r="J567" s="199"/>
      <c r="K567" s="199"/>
      <c r="L567" s="199"/>
      <c r="M567" s="199"/>
      <c r="N567" s="199"/>
    </row>
    <row r="568" spans="6:14">
      <c r="F568" s="199"/>
      <c r="G568" s="199"/>
      <c r="H568" s="199"/>
      <c r="I568" s="199"/>
      <c r="J568" s="199"/>
      <c r="K568" s="199"/>
      <c r="L568" s="199"/>
      <c r="M568" s="199"/>
      <c r="N568" s="199"/>
    </row>
    <row r="569" spans="6:14">
      <c r="F569" s="199"/>
      <c r="G569" s="199"/>
      <c r="H569" s="199"/>
      <c r="I569" s="199"/>
      <c r="J569" s="199"/>
      <c r="K569" s="199"/>
      <c r="L569" s="199"/>
      <c r="M569" s="199"/>
      <c r="N569" s="199"/>
    </row>
    <row r="570" spans="6:14">
      <c r="F570" s="199"/>
      <c r="G570" s="199"/>
      <c r="H570" s="199"/>
      <c r="I570" s="199"/>
      <c r="J570" s="199"/>
      <c r="K570" s="199"/>
      <c r="L570" s="199"/>
      <c r="M570" s="199"/>
      <c r="N570" s="199"/>
    </row>
    <row r="571" spans="6:14">
      <c r="F571" s="199"/>
      <c r="G571" s="199"/>
      <c r="H571" s="199"/>
      <c r="I571" s="199"/>
      <c r="J571" s="199"/>
      <c r="K571" s="199"/>
      <c r="L571" s="199"/>
      <c r="M571" s="199"/>
      <c r="N571" s="199"/>
    </row>
    <row r="572" spans="6:14">
      <c r="F572" s="199"/>
      <c r="G572" s="199"/>
      <c r="H572" s="199"/>
      <c r="I572" s="199"/>
      <c r="J572" s="199"/>
      <c r="K572" s="199"/>
      <c r="L572" s="199"/>
      <c r="M572" s="199"/>
      <c r="N572" s="199"/>
    </row>
    <row r="573" spans="6:14">
      <c r="F573" s="199"/>
      <c r="G573" s="199"/>
      <c r="H573" s="199"/>
      <c r="I573" s="199"/>
      <c r="J573" s="199"/>
      <c r="K573" s="199"/>
      <c r="L573" s="199"/>
      <c r="M573" s="199"/>
      <c r="N573" s="199"/>
    </row>
    <row r="574" spans="6:14">
      <c r="F574" s="199"/>
      <c r="G574" s="199"/>
      <c r="H574" s="199"/>
      <c r="I574" s="199"/>
      <c r="J574" s="199"/>
      <c r="K574" s="199"/>
      <c r="L574" s="199"/>
      <c r="M574" s="199"/>
      <c r="N574" s="199"/>
    </row>
    <row r="575" spans="6:14">
      <c r="F575" s="199"/>
      <c r="G575" s="199"/>
      <c r="H575" s="199"/>
      <c r="I575" s="199"/>
      <c r="J575" s="199"/>
      <c r="K575" s="199"/>
      <c r="L575" s="199"/>
      <c r="M575" s="199"/>
      <c r="N575" s="199"/>
    </row>
    <row r="576" spans="6:14">
      <c r="F576" s="199"/>
      <c r="G576" s="199"/>
      <c r="H576" s="199"/>
      <c r="I576" s="199"/>
      <c r="J576" s="199"/>
      <c r="K576" s="199"/>
      <c r="L576" s="199"/>
      <c r="M576" s="199"/>
      <c r="N576" s="199"/>
    </row>
    <row r="577" spans="6:14">
      <c r="F577" s="199"/>
      <c r="G577" s="199"/>
      <c r="H577" s="199"/>
      <c r="I577" s="199"/>
      <c r="J577" s="199"/>
      <c r="K577" s="199"/>
      <c r="L577" s="199"/>
      <c r="M577" s="199"/>
      <c r="N577" s="199"/>
    </row>
    <row r="578" spans="6:14">
      <c r="F578" s="199"/>
      <c r="G578" s="199"/>
      <c r="H578" s="199"/>
      <c r="I578" s="199"/>
      <c r="J578" s="199"/>
      <c r="K578" s="199"/>
      <c r="L578" s="199"/>
      <c r="M578" s="199"/>
      <c r="N578" s="199"/>
    </row>
    <row r="579" spans="6:14">
      <c r="F579" s="199"/>
      <c r="G579" s="199"/>
      <c r="H579" s="199"/>
      <c r="I579" s="199"/>
      <c r="J579" s="199"/>
      <c r="K579" s="199"/>
      <c r="L579" s="199"/>
      <c r="M579" s="199"/>
      <c r="N579" s="199"/>
    </row>
    <row r="580" spans="6:14">
      <c r="F580" s="199"/>
      <c r="G580" s="199"/>
      <c r="H580" s="199"/>
      <c r="I580" s="199"/>
      <c r="J580" s="199"/>
      <c r="K580" s="199"/>
      <c r="L580" s="199"/>
      <c r="M580" s="199"/>
      <c r="N580" s="199"/>
    </row>
    <row r="581" spans="6:14">
      <c r="F581" s="199"/>
      <c r="G581" s="199"/>
      <c r="H581" s="199"/>
      <c r="I581" s="199"/>
      <c r="J581" s="199"/>
      <c r="K581" s="199"/>
      <c r="L581" s="199"/>
      <c r="M581" s="199"/>
      <c r="N581" s="199"/>
    </row>
    <row r="582" spans="6:14">
      <c r="F582" s="199"/>
      <c r="G582" s="199"/>
      <c r="H582" s="199"/>
      <c r="I582" s="199"/>
      <c r="J582" s="199"/>
      <c r="K582" s="199"/>
      <c r="L582" s="199"/>
      <c r="M582" s="199"/>
      <c r="N582" s="199"/>
    </row>
    <row r="583" spans="6:14">
      <c r="F583" s="199"/>
      <c r="G583" s="199"/>
      <c r="H583" s="199"/>
      <c r="I583" s="199"/>
      <c r="J583" s="199"/>
      <c r="K583" s="199"/>
      <c r="L583" s="199"/>
      <c r="M583" s="199"/>
      <c r="N583" s="199"/>
    </row>
    <row r="584" spans="6:14">
      <c r="F584" s="199"/>
      <c r="G584" s="199"/>
      <c r="H584" s="199"/>
      <c r="I584" s="199"/>
      <c r="J584" s="199"/>
      <c r="K584" s="199"/>
      <c r="L584" s="199"/>
      <c r="M584" s="199"/>
      <c r="N584" s="199"/>
    </row>
    <row r="585" spans="6:14">
      <c r="F585" s="199"/>
      <c r="G585" s="199"/>
      <c r="H585" s="199"/>
      <c r="I585" s="199"/>
      <c r="J585" s="199"/>
      <c r="K585" s="199"/>
      <c r="L585" s="199"/>
      <c r="M585" s="199"/>
      <c r="N585" s="199"/>
    </row>
    <row r="586" spans="6:14">
      <c r="F586" s="199"/>
      <c r="G586" s="199"/>
      <c r="H586" s="199"/>
      <c r="I586" s="199"/>
      <c r="J586" s="199"/>
      <c r="K586" s="199"/>
      <c r="L586" s="199"/>
      <c r="M586" s="199"/>
      <c r="N586" s="199"/>
    </row>
    <row r="587" spans="6:14">
      <c r="F587" s="199"/>
      <c r="G587" s="199"/>
      <c r="H587" s="199"/>
      <c r="I587" s="199"/>
      <c r="J587" s="199"/>
      <c r="K587" s="199"/>
      <c r="L587" s="199"/>
      <c r="M587" s="199"/>
      <c r="N587" s="199"/>
    </row>
    <row r="588" spans="6:14">
      <c r="F588" s="199"/>
      <c r="G588" s="199"/>
      <c r="H588" s="199"/>
      <c r="I588" s="199"/>
      <c r="J588" s="199"/>
      <c r="K588" s="199"/>
      <c r="L588" s="199"/>
      <c r="M588" s="199"/>
      <c r="N588" s="199"/>
    </row>
    <row r="589" spans="6:14">
      <c r="F589" s="199"/>
      <c r="G589" s="199"/>
      <c r="H589" s="199"/>
      <c r="I589" s="199"/>
      <c r="J589" s="199"/>
      <c r="K589" s="199"/>
      <c r="L589" s="199"/>
      <c r="M589" s="199"/>
      <c r="N589" s="199"/>
    </row>
    <row r="590" spans="6:14">
      <c r="F590" s="199"/>
      <c r="G590" s="199"/>
      <c r="H590" s="199"/>
      <c r="I590" s="199"/>
      <c r="J590" s="199"/>
      <c r="K590" s="199"/>
      <c r="L590" s="199"/>
      <c r="M590" s="199"/>
      <c r="N590" s="199"/>
    </row>
    <row r="591" spans="6:14">
      <c r="F591" s="199"/>
      <c r="G591" s="199"/>
      <c r="H591" s="199"/>
      <c r="I591" s="199"/>
      <c r="J591" s="199"/>
      <c r="K591" s="199"/>
      <c r="L591" s="199"/>
      <c r="M591" s="199"/>
      <c r="N591" s="199"/>
    </row>
    <row r="592" spans="6:14">
      <c r="F592" s="199"/>
      <c r="G592" s="199"/>
      <c r="H592" s="199"/>
      <c r="I592" s="199"/>
      <c r="J592" s="199"/>
      <c r="K592" s="199"/>
      <c r="L592" s="199"/>
      <c r="M592" s="199"/>
      <c r="N592" s="199"/>
    </row>
    <row r="593" spans="6:14">
      <c r="F593" s="199"/>
      <c r="G593" s="199"/>
      <c r="H593" s="199"/>
      <c r="I593" s="199"/>
      <c r="J593" s="199"/>
      <c r="K593" s="199"/>
      <c r="L593" s="199"/>
      <c r="M593" s="199"/>
      <c r="N593" s="199"/>
    </row>
    <row r="594" spans="6:14">
      <c r="F594" s="199"/>
      <c r="G594" s="199"/>
      <c r="H594" s="199"/>
      <c r="I594" s="199"/>
      <c r="J594" s="199"/>
      <c r="K594" s="199"/>
      <c r="L594" s="199"/>
      <c r="M594" s="199"/>
      <c r="N594" s="199"/>
    </row>
    <row r="595" spans="6:14">
      <c r="F595" s="199"/>
      <c r="G595" s="199"/>
      <c r="H595" s="199"/>
      <c r="I595" s="199"/>
      <c r="J595" s="199"/>
      <c r="K595" s="199"/>
      <c r="L595" s="199"/>
      <c r="M595" s="199"/>
      <c r="N595" s="199"/>
    </row>
    <row r="596" spans="6:14">
      <c r="F596" s="199"/>
      <c r="G596" s="199"/>
      <c r="H596" s="199"/>
      <c r="I596" s="199"/>
      <c r="J596" s="199"/>
      <c r="K596" s="199"/>
      <c r="L596" s="199"/>
      <c r="M596" s="199"/>
      <c r="N596" s="199"/>
    </row>
    <row r="597" spans="6:14">
      <c r="F597" s="199"/>
      <c r="G597" s="199"/>
      <c r="H597" s="199"/>
      <c r="I597" s="199"/>
      <c r="J597" s="199"/>
      <c r="K597" s="199"/>
      <c r="L597" s="199"/>
      <c r="M597" s="199"/>
      <c r="N597" s="199"/>
    </row>
    <row r="598" spans="6:14">
      <c r="F598" s="199"/>
      <c r="G598" s="199"/>
      <c r="H598" s="199"/>
      <c r="I598" s="199"/>
      <c r="J598" s="199"/>
      <c r="K598" s="199"/>
      <c r="L598" s="199"/>
      <c r="M598" s="199"/>
      <c r="N598" s="199"/>
    </row>
    <row r="599" spans="6:14">
      <c r="F599" s="199"/>
      <c r="G599" s="199"/>
      <c r="H599" s="199"/>
      <c r="I599" s="199"/>
      <c r="J599" s="199"/>
      <c r="K599" s="199"/>
      <c r="L599" s="199"/>
      <c r="M599" s="199"/>
      <c r="N599" s="199"/>
    </row>
    <row r="600" spans="6:14">
      <c r="F600" s="199"/>
      <c r="G600" s="199"/>
      <c r="H600" s="199"/>
      <c r="I600" s="199"/>
      <c r="J600" s="199"/>
      <c r="K600" s="199"/>
      <c r="L600" s="199"/>
      <c r="M600" s="199"/>
      <c r="N600" s="199"/>
    </row>
    <row r="601" spans="6:14">
      <c r="F601" s="199"/>
      <c r="G601" s="199"/>
      <c r="H601" s="199"/>
      <c r="I601" s="199"/>
      <c r="J601" s="199"/>
      <c r="K601" s="199"/>
      <c r="L601" s="199"/>
      <c r="M601" s="199"/>
      <c r="N601" s="199"/>
    </row>
    <row r="602" spans="6:14">
      <c r="F602" s="199"/>
      <c r="G602" s="199"/>
      <c r="H602" s="199"/>
      <c r="I602" s="199"/>
      <c r="J602" s="199"/>
      <c r="K602" s="199"/>
      <c r="L602" s="199"/>
      <c r="M602" s="199"/>
      <c r="N602" s="199"/>
    </row>
    <row r="603" spans="6:14">
      <c r="F603" s="199"/>
      <c r="G603" s="199"/>
      <c r="H603" s="199"/>
      <c r="I603" s="199"/>
      <c r="J603" s="199"/>
      <c r="K603" s="199"/>
      <c r="L603" s="199"/>
      <c r="M603" s="199"/>
      <c r="N603" s="199"/>
    </row>
    <row r="604" spans="6:14">
      <c r="F604" s="199"/>
      <c r="G604" s="199"/>
      <c r="H604" s="199"/>
      <c r="I604" s="199"/>
      <c r="J604" s="199"/>
      <c r="K604" s="199"/>
      <c r="L604" s="199"/>
      <c r="M604" s="199"/>
      <c r="N604" s="199"/>
    </row>
    <row r="605" spans="6:14">
      <c r="F605" s="199"/>
      <c r="G605" s="199"/>
      <c r="H605" s="199"/>
      <c r="I605" s="199"/>
      <c r="J605" s="199"/>
      <c r="K605" s="199"/>
      <c r="L605" s="199"/>
      <c r="M605" s="199"/>
      <c r="N605" s="199"/>
    </row>
    <row r="606" spans="6:14">
      <c r="F606" s="199"/>
      <c r="G606" s="199"/>
      <c r="H606" s="199"/>
      <c r="I606" s="199"/>
      <c r="J606" s="199"/>
      <c r="K606" s="199"/>
      <c r="L606" s="199"/>
      <c r="M606" s="199"/>
      <c r="N606" s="199"/>
    </row>
    <row r="607" spans="6:14">
      <c r="F607" s="199"/>
      <c r="G607" s="199"/>
      <c r="H607" s="199"/>
      <c r="I607" s="199"/>
      <c r="J607" s="199"/>
      <c r="K607" s="199"/>
      <c r="L607" s="199"/>
      <c r="M607" s="199"/>
      <c r="N607" s="199"/>
    </row>
    <row r="608" spans="6:14">
      <c r="F608" s="199"/>
      <c r="G608" s="199"/>
      <c r="H608" s="199"/>
      <c r="I608" s="199"/>
      <c r="J608" s="199"/>
      <c r="K608" s="199"/>
      <c r="L608" s="199"/>
      <c r="M608" s="199"/>
      <c r="N608" s="199"/>
    </row>
    <row r="609" spans="6:14">
      <c r="F609" s="199"/>
      <c r="G609" s="199"/>
      <c r="H609" s="199"/>
      <c r="I609" s="199"/>
      <c r="J609" s="199"/>
      <c r="K609" s="199"/>
      <c r="L609" s="199"/>
      <c r="M609" s="199"/>
      <c r="N609" s="199"/>
    </row>
    <row r="610" spans="6:14">
      <c r="F610" s="199"/>
      <c r="G610" s="199"/>
      <c r="H610" s="199"/>
      <c r="I610" s="199"/>
      <c r="J610" s="199"/>
      <c r="K610" s="199"/>
      <c r="L610" s="199"/>
      <c r="M610" s="199"/>
      <c r="N610" s="199"/>
    </row>
    <row r="611" spans="6:14">
      <c r="F611" s="199"/>
      <c r="G611" s="199"/>
      <c r="H611" s="199"/>
      <c r="I611" s="199"/>
      <c r="J611" s="199"/>
      <c r="K611" s="199"/>
      <c r="L611" s="199"/>
      <c r="M611" s="199"/>
      <c r="N611" s="199"/>
    </row>
    <row r="612" spans="6:14">
      <c r="F612" s="199"/>
      <c r="G612" s="199"/>
      <c r="H612" s="199"/>
      <c r="I612" s="199"/>
      <c r="J612" s="199"/>
      <c r="K612" s="199"/>
      <c r="L612" s="199"/>
      <c r="M612" s="199"/>
      <c r="N612" s="199"/>
    </row>
    <row r="613" spans="6:14">
      <c r="F613" s="199"/>
      <c r="G613" s="199"/>
      <c r="H613" s="199"/>
      <c r="I613" s="199"/>
      <c r="J613" s="199"/>
      <c r="K613" s="199"/>
      <c r="L613" s="199"/>
      <c r="M613" s="199"/>
      <c r="N613" s="199"/>
    </row>
    <row r="614" spans="6:14">
      <c r="F614" s="199"/>
      <c r="G614" s="199"/>
      <c r="H614" s="199"/>
      <c r="I614" s="199"/>
      <c r="J614" s="199"/>
      <c r="K614" s="199"/>
      <c r="L614" s="199"/>
      <c r="M614" s="199"/>
      <c r="N614" s="199"/>
    </row>
    <row r="615" spans="6:14">
      <c r="F615" s="199"/>
      <c r="G615" s="199"/>
      <c r="H615" s="199"/>
      <c r="I615" s="199"/>
      <c r="J615" s="199"/>
      <c r="K615" s="199"/>
      <c r="L615" s="199"/>
      <c r="M615" s="199"/>
      <c r="N615" s="199"/>
    </row>
    <row r="616" spans="6:14">
      <c r="F616" s="199"/>
      <c r="G616" s="199"/>
      <c r="H616" s="199"/>
      <c r="I616" s="199"/>
      <c r="J616" s="199"/>
      <c r="K616" s="199"/>
      <c r="L616" s="199"/>
      <c r="M616" s="199"/>
      <c r="N616" s="199"/>
    </row>
    <row r="617" spans="6:14">
      <c r="F617" s="199"/>
      <c r="G617" s="199"/>
      <c r="H617" s="199"/>
      <c r="I617" s="199"/>
      <c r="J617" s="199"/>
      <c r="K617" s="199"/>
      <c r="L617" s="199"/>
      <c r="M617" s="199"/>
      <c r="N617" s="199"/>
    </row>
    <row r="618" spans="6:14">
      <c r="F618" s="199"/>
      <c r="G618" s="199"/>
      <c r="H618" s="199"/>
      <c r="I618" s="199"/>
      <c r="J618" s="199"/>
      <c r="K618" s="199"/>
      <c r="L618" s="199"/>
      <c r="M618" s="199"/>
      <c r="N618" s="199"/>
    </row>
    <row r="619" spans="6:14">
      <c r="F619" s="199"/>
      <c r="G619" s="199"/>
      <c r="H619" s="199"/>
      <c r="I619" s="199"/>
      <c r="J619" s="199"/>
      <c r="K619" s="199"/>
      <c r="L619" s="199"/>
      <c r="M619" s="199"/>
      <c r="N619" s="199"/>
    </row>
    <row r="620" spans="6:14">
      <c r="F620" s="199"/>
      <c r="G620" s="199"/>
      <c r="H620" s="199"/>
      <c r="I620" s="199"/>
      <c r="J620" s="199"/>
      <c r="K620" s="199"/>
      <c r="L620" s="199"/>
      <c r="M620" s="199"/>
      <c r="N620" s="199"/>
    </row>
    <row r="621" spans="6:14">
      <c r="F621" s="199"/>
      <c r="G621" s="199"/>
      <c r="H621" s="199"/>
      <c r="I621" s="199"/>
      <c r="J621" s="199"/>
      <c r="K621" s="199"/>
      <c r="L621" s="199"/>
      <c r="M621" s="199"/>
      <c r="N621" s="199"/>
    </row>
    <row r="622" spans="6:14">
      <c r="F622" s="199"/>
      <c r="G622" s="199"/>
      <c r="H622" s="199"/>
      <c r="I622" s="199"/>
      <c r="J622" s="199"/>
      <c r="K622" s="199"/>
      <c r="L622" s="199"/>
      <c r="M622" s="199"/>
      <c r="N622" s="199"/>
    </row>
    <row r="623" spans="6:14">
      <c r="F623" s="199"/>
      <c r="G623" s="199"/>
      <c r="H623" s="199"/>
      <c r="I623" s="199"/>
      <c r="J623" s="199"/>
      <c r="K623" s="199"/>
      <c r="L623" s="199"/>
      <c r="M623" s="199"/>
      <c r="N623" s="199"/>
    </row>
    <row r="624" spans="6:14">
      <c r="F624" s="199"/>
      <c r="G624" s="199"/>
      <c r="H624" s="199"/>
      <c r="I624" s="199"/>
      <c r="J624" s="199"/>
      <c r="K624" s="199"/>
      <c r="L624" s="199"/>
      <c r="M624" s="199"/>
      <c r="N624" s="199"/>
    </row>
    <row r="625" spans="6:14">
      <c r="F625" s="199"/>
      <c r="G625" s="199"/>
      <c r="H625" s="199"/>
      <c r="I625" s="199"/>
      <c r="J625" s="199"/>
      <c r="K625" s="199"/>
      <c r="L625" s="199"/>
      <c r="M625" s="199"/>
      <c r="N625" s="199"/>
    </row>
    <row r="626" spans="6:14">
      <c r="F626" s="199"/>
      <c r="G626" s="199"/>
      <c r="H626" s="199"/>
      <c r="I626" s="199"/>
      <c r="J626" s="199"/>
      <c r="K626" s="199"/>
      <c r="L626" s="199"/>
      <c r="M626" s="199"/>
      <c r="N626" s="199"/>
    </row>
    <row r="627" spans="6:14">
      <c r="F627" s="199"/>
      <c r="G627" s="199"/>
      <c r="H627" s="199"/>
      <c r="I627" s="199"/>
      <c r="J627" s="199"/>
      <c r="K627" s="199"/>
      <c r="L627" s="199"/>
      <c r="M627" s="199"/>
      <c r="N627" s="199"/>
    </row>
    <row r="628" spans="6:14">
      <c r="F628" s="199"/>
      <c r="G628" s="199"/>
      <c r="H628" s="199"/>
      <c r="I628" s="199"/>
      <c r="J628" s="199"/>
      <c r="K628" s="199"/>
      <c r="L628" s="199"/>
      <c r="M628" s="199"/>
      <c r="N628" s="199"/>
    </row>
    <row r="629" spans="6:14">
      <c r="F629" s="199"/>
      <c r="G629" s="199"/>
      <c r="H629" s="199"/>
      <c r="I629" s="199"/>
      <c r="J629" s="199"/>
      <c r="K629" s="199"/>
      <c r="L629" s="199"/>
      <c r="M629" s="199"/>
      <c r="N629" s="199"/>
    </row>
    <row r="630" spans="6:14">
      <c r="F630" s="199"/>
      <c r="G630" s="199"/>
      <c r="H630" s="199"/>
      <c r="I630" s="199"/>
      <c r="J630" s="199"/>
      <c r="K630" s="199"/>
      <c r="L630" s="199"/>
      <c r="M630" s="199"/>
      <c r="N630" s="199"/>
    </row>
    <row r="631" spans="6:14">
      <c r="F631" s="199"/>
      <c r="G631" s="199"/>
      <c r="H631" s="199"/>
      <c r="I631" s="199"/>
      <c r="J631" s="199"/>
      <c r="K631" s="199"/>
      <c r="L631" s="199"/>
      <c r="M631" s="199"/>
      <c r="N631" s="199"/>
    </row>
    <row r="632" spans="6:14">
      <c r="F632" s="199"/>
      <c r="G632" s="199"/>
      <c r="H632" s="199"/>
      <c r="I632" s="199"/>
      <c r="J632" s="199"/>
      <c r="K632" s="199"/>
      <c r="L632" s="199"/>
      <c r="M632" s="199"/>
      <c r="N632" s="199"/>
    </row>
    <row r="633" spans="6:14">
      <c r="F633" s="199"/>
      <c r="G633" s="199"/>
      <c r="H633" s="199"/>
      <c r="I633" s="199"/>
      <c r="J633" s="199"/>
      <c r="K633" s="199"/>
      <c r="L633" s="199"/>
      <c r="M633" s="199"/>
      <c r="N633" s="199"/>
    </row>
    <row r="634" spans="6:14">
      <c r="F634" s="199"/>
      <c r="G634" s="199"/>
      <c r="H634" s="199"/>
      <c r="I634" s="199"/>
      <c r="J634" s="199"/>
      <c r="K634" s="199"/>
      <c r="L634" s="199"/>
      <c r="M634" s="199"/>
      <c r="N634" s="199"/>
    </row>
    <row r="635" spans="6:14">
      <c r="F635" s="199"/>
      <c r="G635" s="199"/>
      <c r="H635" s="199"/>
      <c r="I635" s="199"/>
      <c r="J635" s="199"/>
      <c r="K635" s="199"/>
      <c r="L635" s="199"/>
      <c r="M635" s="199"/>
      <c r="N635" s="199"/>
    </row>
    <row r="636" spans="6:14">
      <c r="F636" s="199"/>
      <c r="G636" s="199"/>
      <c r="H636" s="199"/>
      <c r="I636" s="199"/>
      <c r="J636" s="199"/>
      <c r="K636" s="199"/>
      <c r="L636" s="199"/>
      <c r="M636" s="199"/>
      <c r="N636" s="199"/>
    </row>
    <row r="637" spans="6:14">
      <c r="F637" s="199"/>
      <c r="G637" s="199"/>
      <c r="H637" s="199"/>
      <c r="I637" s="199"/>
      <c r="J637" s="199"/>
      <c r="K637" s="199"/>
      <c r="L637" s="199"/>
      <c r="M637" s="199"/>
      <c r="N637" s="199"/>
    </row>
    <row r="638" spans="6:14">
      <c r="F638" s="199"/>
      <c r="G638" s="199"/>
      <c r="H638" s="199"/>
      <c r="I638" s="199"/>
      <c r="J638" s="199"/>
      <c r="K638" s="199"/>
      <c r="L638" s="199"/>
      <c r="M638" s="199"/>
      <c r="N638" s="199"/>
    </row>
    <row r="639" spans="6:14">
      <c r="F639" s="199"/>
      <c r="G639" s="199"/>
      <c r="H639" s="199"/>
      <c r="I639" s="199"/>
      <c r="J639" s="199"/>
      <c r="K639" s="199"/>
      <c r="L639" s="199"/>
      <c r="M639" s="199"/>
      <c r="N639" s="199"/>
    </row>
    <row r="640" spans="6:14">
      <c r="F640" s="199"/>
      <c r="G640" s="199"/>
      <c r="H640" s="199"/>
      <c r="I640" s="199"/>
      <c r="J640" s="199"/>
      <c r="K640" s="199"/>
      <c r="L640" s="199"/>
      <c r="M640" s="199"/>
      <c r="N640" s="199"/>
    </row>
    <row r="641" spans="6:14">
      <c r="F641" s="199"/>
      <c r="G641" s="199"/>
      <c r="H641" s="199"/>
      <c r="I641" s="199"/>
      <c r="J641" s="199"/>
      <c r="K641" s="199"/>
      <c r="L641" s="199"/>
      <c r="M641" s="199"/>
      <c r="N641" s="199"/>
    </row>
    <row r="642" spans="6:14">
      <c r="F642" s="199"/>
      <c r="G642" s="199"/>
      <c r="H642" s="199"/>
      <c r="I642" s="199"/>
      <c r="J642" s="199"/>
      <c r="K642" s="199"/>
      <c r="L642" s="199"/>
      <c r="M642" s="199"/>
      <c r="N642" s="199"/>
    </row>
    <row r="643" spans="6:14">
      <c r="F643" s="199"/>
      <c r="G643" s="199"/>
      <c r="H643" s="199"/>
      <c r="I643" s="199"/>
      <c r="J643" s="199"/>
      <c r="K643" s="199"/>
      <c r="L643" s="199"/>
      <c r="M643" s="199"/>
      <c r="N643" s="199"/>
    </row>
    <row r="644" spans="6:14">
      <c r="F644" s="199"/>
      <c r="G644" s="199"/>
      <c r="H644" s="199"/>
      <c r="I644" s="199"/>
      <c r="J644" s="199"/>
      <c r="K644" s="199"/>
      <c r="L644" s="199"/>
      <c r="M644" s="199"/>
      <c r="N644" s="199"/>
    </row>
    <row r="645" spans="6:14">
      <c r="F645" s="199"/>
      <c r="G645" s="199"/>
      <c r="H645" s="199"/>
      <c r="I645" s="199"/>
      <c r="J645" s="199"/>
      <c r="K645" s="199"/>
      <c r="L645" s="199"/>
      <c r="M645" s="199"/>
      <c r="N645" s="199"/>
    </row>
    <row r="646" spans="6:14">
      <c r="F646" s="199"/>
      <c r="G646" s="199"/>
      <c r="H646" s="199"/>
      <c r="I646" s="199"/>
      <c r="J646" s="199"/>
      <c r="K646" s="199"/>
      <c r="L646" s="199"/>
      <c r="M646" s="199"/>
      <c r="N646" s="199"/>
    </row>
    <row r="647" spans="6:14">
      <c r="F647" s="199"/>
      <c r="G647" s="199"/>
      <c r="H647" s="199"/>
      <c r="I647" s="199"/>
      <c r="J647" s="199"/>
      <c r="K647" s="199"/>
      <c r="L647" s="199"/>
      <c r="M647" s="199"/>
      <c r="N647" s="199"/>
    </row>
    <row r="648" spans="6:14">
      <c r="F648" s="199"/>
      <c r="G648" s="199"/>
      <c r="H648" s="199"/>
      <c r="I648" s="199"/>
      <c r="J648" s="199"/>
      <c r="K648" s="199"/>
      <c r="L648" s="199"/>
      <c r="M648" s="199"/>
      <c r="N648" s="199"/>
    </row>
    <row r="649" spans="6:14">
      <c r="F649" s="199"/>
      <c r="G649" s="199"/>
      <c r="H649" s="199"/>
      <c r="I649" s="199"/>
      <c r="J649" s="199"/>
      <c r="K649" s="199"/>
      <c r="L649" s="199"/>
      <c r="M649" s="199"/>
      <c r="N649" s="199"/>
    </row>
    <row r="650" spans="6:14">
      <c r="F650" s="199"/>
      <c r="G650" s="199"/>
      <c r="H650" s="199"/>
      <c r="I650" s="199"/>
      <c r="J650" s="199"/>
      <c r="K650" s="199"/>
      <c r="L650" s="199"/>
      <c r="M650" s="199"/>
      <c r="N650" s="199"/>
    </row>
    <row r="651" spans="6:14">
      <c r="F651" s="199"/>
      <c r="G651" s="199"/>
      <c r="H651" s="199"/>
      <c r="I651" s="199"/>
      <c r="J651" s="199"/>
      <c r="K651" s="199"/>
      <c r="L651" s="199"/>
      <c r="M651" s="199"/>
      <c r="N651" s="199"/>
    </row>
    <row r="652" spans="6:14">
      <c r="F652" s="199"/>
      <c r="G652" s="199"/>
      <c r="H652" s="199"/>
      <c r="I652" s="199"/>
      <c r="J652" s="199"/>
      <c r="K652" s="199"/>
      <c r="L652" s="199"/>
      <c r="M652" s="199"/>
      <c r="N652" s="199"/>
    </row>
    <row r="653" spans="6:14">
      <c r="F653" s="199"/>
      <c r="G653" s="199"/>
      <c r="H653" s="199"/>
      <c r="I653" s="199"/>
      <c r="J653" s="199"/>
      <c r="K653" s="199"/>
      <c r="L653" s="199"/>
      <c r="M653" s="199"/>
      <c r="N653" s="199"/>
    </row>
    <row r="654" spans="6:14">
      <c r="F654" s="199"/>
      <c r="G654" s="199"/>
      <c r="H654" s="199"/>
      <c r="I654" s="199"/>
      <c r="J654" s="199"/>
      <c r="K654" s="199"/>
      <c r="L654" s="199"/>
      <c r="M654" s="199"/>
      <c r="N654" s="199"/>
    </row>
    <row r="655" spans="6:14">
      <c r="F655" s="199"/>
      <c r="G655" s="199"/>
      <c r="H655" s="199"/>
      <c r="I655" s="199"/>
      <c r="J655" s="199"/>
      <c r="K655" s="199"/>
      <c r="L655" s="199"/>
      <c r="M655" s="199"/>
      <c r="N655" s="199"/>
    </row>
    <row r="656" spans="6:14">
      <c r="F656" s="199"/>
      <c r="G656" s="199"/>
      <c r="H656" s="199"/>
      <c r="I656" s="199"/>
      <c r="J656" s="199"/>
      <c r="K656" s="199"/>
      <c r="L656" s="199"/>
      <c r="M656" s="199"/>
      <c r="N656" s="199"/>
    </row>
    <row r="657" spans="6:14">
      <c r="F657" s="199"/>
      <c r="G657" s="199"/>
      <c r="H657" s="199"/>
      <c r="I657" s="199"/>
      <c r="J657" s="199"/>
      <c r="K657" s="199"/>
      <c r="L657" s="199"/>
      <c r="M657" s="199"/>
      <c r="N657" s="199"/>
    </row>
    <row r="658" spans="6:14">
      <c r="F658" s="199"/>
      <c r="G658" s="199"/>
      <c r="H658" s="199"/>
      <c r="I658" s="199"/>
      <c r="J658" s="199"/>
      <c r="K658" s="199"/>
      <c r="L658" s="199"/>
      <c r="M658" s="199"/>
      <c r="N658" s="199"/>
    </row>
    <row r="659" spans="6:14">
      <c r="F659" s="199"/>
      <c r="G659" s="199"/>
      <c r="H659" s="199"/>
      <c r="I659" s="199"/>
      <c r="J659" s="199"/>
      <c r="K659" s="199"/>
      <c r="L659" s="199"/>
      <c r="M659" s="199"/>
      <c r="N659" s="199"/>
    </row>
    <row r="660" spans="6:14">
      <c r="F660" s="199"/>
      <c r="G660" s="199"/>
      <c r="H660" s="199"/>
      <c r="I660" s="199"/>
      <c r="J660" s="199"/>
      <c r="K660" s="199"/>
      <c r="L660" s="199"/>
      <c r="M660" s="199"/>
      <c r="N660" s="199"/>
    </row>
    <row r="661" spans="6:14">
      <c r="F661" s="199"/>
      <c r="G661" s="199"/>
      <c r="H661" s="199"/>
      <c r="I661" s="199"/>
      <c r="J661" s="199"/>
      <c r="K661" s="199"/>
      <c r="L661" s="199"/>
      <c r="M661" s="199"/>
      <c r="N661" s="199"/>
    </row>
    <row r="662" spans="6:14">
      <c r="F662" s="199"/>
      <c r="G662" s="199"/>
      <c r="H662" s="199"/>
      <c r="I662" s="199"/>
      <c r="J662" s="199"/>
      <c r="K662" s="199"/>
      <c r="L662" s="199"/>
      <c r="M662" s="199"/>
      <c r="N662" s="199"/>
    </row>
    <row r="663" spans="6:14">
      <c r="F663" s="199"/>
      <c r="G663" s="199"/>
      <c r="H663" s="199"/>
      <c r="I663" s="199"/>
      <c r="J663" s="199"/>
      <c r="K663" s="199"/>
      <c r="L663" s="199"/>
      <c r="M663" s="199"/>
      <c r="N663" s="199"/>
    </row>
    <row r="664" spans="6:14">
      <c r="F664" s="199"/>
      <c r="G664" s="199"/>
      <c r="H664" s="199"/>
      <c r="I664" s="199"/>
      <c r="J664" s="199"/>
      <c r="K664" s="199"/>
      <c r="L664" s="199"/>
      <c r="M664" s="199"/>
      <c r="N664" s="199"/>
    </row>
    <row r="665" spans="6:14">
      <c r="F665" s="199"/>
      <c r="G665" s="199"/>
      <c r="H665" s="199"/>
      <c r="I665" s="199"/>
      <c r="J665" s="199"/>
      <c r="K665" s="199"/>
      <c r="L665" s="199"/>
      <c r="M665" s="199"/>
      <c r="N665" s="199"/>
    </row>
    <row r="666" spans="6:14">
      <c r="F666" s="199"/>
      <c r="G666" s="199"/>
      <c r="H666" s="199"/>
      <c r="I666" s="199"/>
      <c r="J666" s="199"/>
      <c r="K666" s="199"/>
      <c r="L666" s="199"/>
      <c r="M666" s="199"/>
      <c r="N666" s="199"/>
    </row>
    <row r="667" spans="6:14">
      <c r="F667" s="199"/>
      <c r="G667" s="199"/>
      <c r="H667" s="199"/>
      <c r="I667" s="199"/>
      <c r="J667" s="199"/>
      <c r="K667" s="199"/>
      <c r="L667" s="199"/>
      <c r="M667" s="199"/>
      <c r="N667" s="199"/>
    </row>
    <row r="668" spans="6:14">
      <c r="F668" s="199"/>
      <c r="G668" s="199"/>
      <c r="H668" s="199"/>
      <c r="I668" s="199"/>
      <c r="J668" s="199"/>
      <c r="K668" s="199"/>
      <c r="L668" s="199"/>
      <c r="M668" s="199"/>
      <c r="N668" s="199"/>
    </row>
    <row r="669" spans="6:14">
      <c r="F669" s="199"/>
      <c r="G669" s="199"/>
      <c r="H669" s="199"/>
      <c r="I669" s="199"/>
      <c r="J669" s="199"/>
      <c r="K669" s="199"/>
      <c r="L669" s="199"/>
      <c r="M669" s="199"/>
      <c r="N669" s="199"/>
    </row>
    <row r="670" spans="6:14">
      <c r="F670" s="199"/>
      <c r="G670" s="199"/>
      <c r="H670" s="199"/>
      <c r="I670" s="199"/>
      <c r="J670" s="199"/>
      <c r="K670" s="199"/>
      <c r="L670" s="199"/>
      <c r="M670" s="199"/>
      <c r="N670" s="199"/>
    </row>
    <row r="671" spans="6:14">
      <c r="F671" s="199"/>
      <c r="G671" s="199"/>
      <c r="H671" s="199"/>
      <c r="I671" s="199"/>
      <c r="J671" s="199"/>
      <c r="K671" s="199"/>
      <c r="L671" s="199"/>
      <c r="M671" s="199"/>
      <c r="N671" s="199"/>
    </row>
    <row r="672" spans="6:14">
      <c r="F672" s="199"/>
      <c r="G672" s="199"/>
      <c r="H672" s="199"/>
      <c r="I672" s="199"/>
      <c r="J672" s="199"/>
      <c r="K672" s="199"/>
      <c r="L672" s="199"/>
      <c r="M672" s="199"/>
      <c r="N672" s="199"/>
    </row>
    <row r="673" spans="6:14">
      <c r="F673" s="199"/>
      <c r="G673" s="199"/>
      <c r="H673" s="199"/>
      <c r="I673" s="199"/>
      <c r="J673" s="199"/>
      <c r="K673" s="199"/>
      <c r="L673" s="199"/>
      <c r="M673" s="199"/>
      <c r="N673" s="199"/>
    </row>
    <row r="674" spans="6:14">
      <c r="F674" s="199"/>
      <c r="G674" s="199"/>
      <c r="H674" s="199"/>
      <c r="I674" s="199"/>
      <c r="J674" s="199"/>
      <c r="K674" s="199"/>
      <c r="L674" s="199"/>
      <c r="M674" s="199"/>
      <c r="N674" s="199"/>
    </row>
    <row r="675" spans="6:14">
      <c r="F675" s="199"/>
      <c r="G675" s="199"/>
      <c r="H675" s="199"/>
      <c r="I675" s="199"/>
      <c r="J675" s="199"/>
      <c r="K675" s="199"/>
      <c r="L675" s="199"/>
      <c r="M675" s="199"/>
      <c r="N675" s="199"/>
    </row>
    <row r="676" spans="6:14">
      <c r="F676" s="199"/>
      <c r="G676" s="199"/>
      <c r="H676" s="199"/>
      <c r="I676" s="199"/>
      <c r="J676" s="199"/>
      <c r="K676" s="199"/>
      <c r="L676" s="199"/>
      <c r="M676" s="199"/>
      <c r="N676" s="199"/>
    </row>
    <row r="677" spans="6:14">
      <c r="F677" s="199"/>
      <c r="G677" s="199"/>
      <c r="H677" s="199"/>
      <c r="I677" s="199"/>
      <c r="J677" s="199"/>
      <c r="K677" s="199"/>
      <c r="L677" s="199"/>
      <c r="M677" s="199"/>
      <c r="N677" s="199"/>
    </row>
    <row r="678" spans="6:14">
      <c r="F678" s="199"/>
      <c r="G678" s="199"/>
      <c r="H678" s="199"/>
      <c r="I678" s="199"/>
      <c r="J678" s="199"/>
      <c r="K678" s="199"/>
      <c r="L678" s="199"/>
      <c r="M678" s="199"/>
      <c r="N678" s="199"/>
    </row>
    <row r="679" spans="6:14">
      <c r="F679" s="199"/>
      <c r="G679" s="199"/>
      <c r="H679" s="199"/>
      <c r="I679" s="199"/>
      <c r="J679" s="199"/>
      <c r="K679" s="199"/>
      <c r="L679" s="199"/>
      <c r="M679" s="199"/>
      <c r="N679" s="199"/>
    </row>
    <row r="680" spans="6:14">
      <c r="F680" s="199"/>
      <c r="G680" s="199"/>
      <c r="H680" s="199"/>
      <c r="I680" s="199"/>
      <c r="J680" s="199"/>
      <c r="K680" s="199"/>
      <c r="L680" s="199"/>
      <c r="M680" s="199"/>
      <c r="N680" s="199"/>
    </row>
    <row r="681" spans="6:14">
      <c r="F681" s="199"/>
      <c r="G681" s="199"/>
      <c r="H681" s="199"/>
      <c r="I681" s="199"/>
      <c r="J681" s="199"/>
      <c r="K681" s="199"/>
      <c r="L681" s="199"/>
      <c r="M681" s="199"/>
      <c r="N681" s="199"/>
    </row>
    <row r="682" spans="6:14">
      <c r="F682" s="199"/>
      <c r="G682" s="199"/>
      <c r="H682" s="199"/>
      <c r="I682" s="199"/>
      <c r="J682" s="199"/>
      <c r="K682" s="199"/>
      <c r="L682" s="199"/>
      <c r="M682" s="199"/>
      <c r="N682" s="199"/>
    </row>
    <row r="683" spans="6:14">
      <c r="F683" s="199"/>
      <c r="G683" s="199"/>
      <c r="H683" s="199"/>
      <c r="I683" s="199"/>
      <c r="J683" s="199"/>
      <c r="K683" s="199"/>
      <c r="L683" s="199"/>
      <c r="M683" s="199"/>
      <c r="N683" s="199"/>
    </row>
    <row r="684" spans="6:14">
      <c r="F684" s="199"/>
      <c r="G684" s="199"/>
      <c r="H684" s="199"/>
      <c r="I684" s="199"/>
      <c r="J684" s="199"/>
      <c r="K684" s="199"/>
      <c r="L684" s="199"/>
      <c r="M684" s="199"/>
      <c r="N684" s="199"/>
    </row>
    <row r="685" spans="6:14">
      <c r="F685" s="199"/>
      <c r="G685" s="199"/>
      <c r="H685" s="199"/>
      <c r="I685" s="199"/>
      <c r="J685" s="199"/>
      <c r="K685" s="199"/>
      <c r="L685" s="199"/>
      <c r="M685" s="199"/>
      <c r="N685" s="199"/>
    </row>
    <row r="686" spans="6:14">
      <c r="F686" s="199"/>
      <c r="G686" s="199"/>
      <c r="H686" s="199"/>
      <c r="I686" s="199"/>
      <c r="J686" s="199"/>
      <c r="K686" s="199"/>
      <c r="L686" s="199"/>
      <c r="M686" s="199"/>
      <c r="N686" s="199"/>
    </row>
    <row r="687" spans="6:14">
      <c r="F687" s="199"/>
      <c r="G687" s="199"/>
      <c r="H687" s="199"/>
      <c r="I687" s="199"/>
      <c r="J687" s="199"/>
      <c r="K687" s="199"/>
      <c r="L687" s="199"/>
      <c r="M687" s="199"/>
      <c r="N687" s="199"/>
    </row>
    <row r="688" spans="6:14">
      <c r="F688" s="199"/>
      <c r="G688" s="199"/>
      <c r="H688" s="199"/>
      <c r="I688" s="199"/>
      <c r="J688" s="199"/>
      <c r="K688" s="199"/>
      <c r="L688" s="199"/>
      <c r="M688" s="199"/>
      <c r="N688" s="199"/>
    </row>
    <row r="689" spans="6:14">
      <c r="F689" s="199"/>
      <c r="G689" s="199"/>
      <c r="H689" s="199"/>
      <c r="I689" s="199"/>
      <c r="J689" s="199"/>
      <c r="K689" s="199"/>
      <c r="L689" s="199"/>
      <c r="M689" s="199"/>
      <c r="N689" s="199"/>
    </row>
    <row r="690" spans="6:14">
      <c r="F690" s="199"/>
      <c r="G690" s="199"/>
      <c r="H690" s="199"/>
      <c r="I690" s="199"/>
      <c r="J690" s="199"/>
      <c r="K690" s="199"/>
      <c r="L690" s="199"/>
      <c r="M690" s="199"/>
      <c r="N690" s="199"/>
    </row>
    <row r="691" spans="6:14">
      <c r="F691" s="199"/>
      <c r="G691" s="199"/>
      <c r="H691" s="199"/>
      <c r="I691" s="199"/>
      <c r="J691" s="199"/>
      <c r="K691" s="199"/>
      <c r="L691" s="199"/>
      <c r="M691" s="199"/>
      <c r="N691" s="199"/>
    </row>
    <row r="692" spans="6:14">
      <c r="F692" s="199"/>
      <c r="G692" s="199"/>
      <c r="H692" s="199"/>
      <c r="I692" s="199"/>
      <c r="J692" s="199"/>
      <c r="K692" s="199"/>
      <c r="L692" s="199"/>
      <c r="M692" s="199"/>
      <c r="N692" s="199"/>
    </row>
    <row r="693" spans="6:14">
      <c r="F693" s="199"/>
      <c r="G693" s="199"/>
      <c r="H693" s="199"/>
      <c r="I693" s="199"/>
      <c r="J693" s="199"/>
      <c r="K693" s="199"/>
      <c r="L693" s="199"/>
      <c r="M693" s="199"/>
      <c r="N693" s="199"/>
    </row>
    <row r="694" spans="6:14">
      <c r="F694" s="199"/>
      <c r="G694" s="199"/>
      <c r="H694" s="199"/>
      <c r="I694" s="199"/>
      <c r="J694" s="199"/>
      <c r="K694" s="199"/>
      <c r="L694" s="199"/>
      <c r="M694" s="199"/>
      <c r="N694" s="199"/>
    </row>
    <row r="695" spans="6:14">
      <c r="F695" s="199"/>
      <c r="G695" s="199"/>
      <c r="H695" s="199"/>
      <c r="I695" s="199"/>
      <c r="J695" s="199"/>
      <c r="K695" s="199"/>
      <c r="L695" s="199"/>
      <c r="M695" s="199"/>
      <c r="N695" s="199"/>
    </row>
    <row r="696" spans="6:14">
      <c r="F696" s="199"/>
      <c r="G696" s="199"/>
      <c r="H696" s="199"/>
      <c r="I696" s="199"/>
      <c r="J696" s="199"/>
      <c r="K696" s="199"/>
      <c r="L696" s="199"/>
      <c r="M696" s="199"/>
      <c r="N696" s="199"/>
    </row>
    <row r="697" spans="6:14">
      <c r="F697" s="199"/>
      <c r="G697" s="199"/>
      <c r="H697" s="199"/>
      <c r="I697" s="199"/>
      <c r="J697" s="199"/>
      <c r="K697" s="199"/>
      <c r="L697" s="199"/>
      <c r="M697" s="199"/>
      <c r="N697" s="199"/>
    </row>
    <row r="698" spans="6:14">
      <c r="F698" s="199"/>
      <c r="G698" s="199"/>
      <c r="H698" s="199"/>
      <c r="I698" s="199"/>
      <c r="J698" s="199"/>
      <c r="K698" s="199"/>
      <c r="L698" s="199"/>
      <c r="M698" s="199"/>
      <c r="N698" s="199"/>
    </row>
    <row r="699" spans="6:14">
      <c r="F699" s="199"/>
      <c r="G699" s="199"/>
      <c r="H699" s="199"/>
      <c r="I699" s="199"/>
      <c r="J699" s="199"/>
      <c r="K699" s="199"/>
      <c r="L699" s="199"/>
      <c r="M699" s="199"/>
      <c r="N699" s="199"/>
    </row>
    <row r="700" spans="6:14">
      <c r="F700" s="199"/>
      <c r="G700" s="199"/>
      <c r="H700" s="199"/>
      <c r="I700" s="199"/>
      <c r="J700" s="199"/>
      <c r="K700" s="199"/>
      <c r="L700" s="199"/>
      <c r="M700" s="199"/>
      <c r="N700" s="199"/>
    </row>
    <row r="701" spans="6:14">
      <c r="F701" s="199"/>
      <c r="G701" s="199"/>
      <c r="H701" s="199"/>
      <c r="I701" s="199"/>
      <c r="J701" s="199"/>
      <c r="K701" s="199"/>
      <c r="L701" s="199"/>
      <c r="M701" s="199"/>
      <c r="N701" s="199"/>
    </row>
    <row r="702" spans="6:14">
      <c r="F702" s="199"/>
      <c r="G702" s="199"/>
      <c r="H702" s="199"/>
      <c r="I702" s="199"/>
      <c r="J702" s="199"/>
      <c r="K702" s="199"/>
      <c r="L702" s="199"/>
      <c r="M702" s="199"/>
      <c r="N702" s="199"/>
    </row>
    <row r="703" spans="6:14">
      <c r="F703" s="199"/>
      <c r="G703" s="199"/>
      <c r="H703" s="199"/>
      <c r="I703" s="199"/>
      <c r="J703" s="199"/>
      <c r="K703" s="199"/>
      <c r="L703" s="199"/>
      <c r="M703" s="199"/>
      <c r="N703" s="199"/>
    </row>
    <row r="704" spans="6:14">
      <c r="F704" s="199"/>
      <c r="G704" s="199"/>
      <c r="H704" s="199"/>
      <c r="I704" s="199"/>
      <c r="J704" s="199"/>
      <c r="K704" s="199"/>
      <c r="L704" s="199"/>
      <c r="M704" s="199"/>
      <c r="N704" s="199"/>
    </row>
    <row r="705" spans="6:14">
      <c r="F705" s="199"/>
      <c r="G705" s="199"/>
      <c r="H705" s="199"/>
      <c r="I705" s="199"/>
      <c r="J705" s="199"/>
      <c r="K705" s="199"/>
      <c r="L705" s="199"/>
      <c r="M705" s="199"/>
      <c r="N705" s="199"/>
    </row>
    <row r="706" spans="6:14">
      <c r="F706" s="199"/>
      <c r="G706" s="199"/>
      <c r="H706" s="199"/>
      <c r="I706" s="199"/>
      <c r="J706" s="199"/>
      <c r="K706" s="199"/>
      <c r="L706" s="199"/>
      <c r="M706" s="199"/>
      <c r="N706" s="199"/>
    </row>
    <row r="707" spans="6:14">
      <c r="F707" s="199"/>
      <c r="G707" s="199"/>
      <c r="H707" s="199"/>
      <c r="I707" s="199"/>
      <c r="J707" s="199"/>
      <c r="K707" s="199"/>
      <c r="L707" s="199"/>
      <c r="M707" s="199"/>
      <c r="N707" s="199"/>
    </row>
    <row r="708" spans="6:14">
      <c r="F708" s="199"/>
      <c r="G708" s="199"/>
      <c r="H708" s="199"/>
      <c r="I708" s="199"/>
      <c r="J708" s="199"/>
      <c r="K708" s="199"/>
      <c r="L708" s="199"/>
      <c r="M708" s="199"/>
      <c r="N708" s="199"/>
    </row>
    <row r="709" spans="6:14">
      <c r="F709" s="199"/>
      <c r="G709" s="199"/>
      <c r="H709" s="199"/>
      <c r="I709" s="199"/>
      <c r="J709" s="199"/>
      <c r="K709" s="199"/>
      <c r="L709" s="199"/>
      <c r="M709" s="199"/>
      <c r="N709" s="199"/>
    </row>
    <row r="710" spans="6:14">
      <c r="F710" s="199"/>
      <c r="G710" s="199"/>
      <c r="H710" s="199"/>
      <c r="I710" s="199"/>
      <c r="J710" s="199"/>
      <c r="K710" s="199"/>
      <c r="L710" s="199"/>
      <c r="M710" s="199"/>
      <c r="N710" s="199"/>
    </row>
    <row r="711" spans="6:14">
      <c r="F711" s="199"/>
      <c r="G711" s="199"/>
      <c r="H711" s="199"/>
      <c r="I711" s="199"/>
      <c r="J711" s="199"/>
      <c r="K711" s="199"/>
      <c r="L711" s="199"/>
      <c r="M711" s="199"/>
      <c r="N711" s="199"/>
    </row>
    <row r="712" spans="6:14">
      <c r="F712" s="199"/>
      <c r="G712" s="199"/>
      <c r="H712" s="199"/>
      <c r="I712" s="199"/>
      <c r="J712" s="199"/>
      <c r="K712" s="199"/>
      <c r="L712" s="199"/>
      <c r="M712" s="199"/>
      <c r="N712" s="199"/>
    </row>
    <row r="713" spans="6:14">
      <c r="F713" s="199"/>
      <c r="G713" s="199"/>
      <c r="H713" s="199"/>
      <c r="I713" s="199"/>
      <c r="J713" s="199"/>
      <c r="K713" s="199"/>
      <c r="L713" s="199"/>
      <c r="M713" s="199"/>
      <c r="N713" s="199"/>
    </row>
    <row r="714" spans="6:14">
      <c r="F714" s="199"/>
      <c r="G714" s="199"/>
      <c r="H714" s="199"/>
      <c r="I714" s="199"/>
      <c r="J714" s="199"/>
      <c r="K714" s="199"/>
      <c r="L714" s="199"/>
      <c r="M714" s="199"/>
      <c r="N714" s="199"/>
    </row>
    <row r="715" spans="6:14">
      <c r="F715" s="199"/>
      <c r="G715" s="199"/>
      <c r="H715" s="199"/>
      <c r="I715" s="199"/>
      <c r="J715" s="199"/>
      <c r="K715" s="199"/>
      <c r="L715" s="199"/>
      <c r="M715" s="199"/>
      <c r="N715" s="199"/>
    </row>
    <row r="716" spans="6:14">
      <c r="F716" s="199"/>
      <c r="G716" s="199"/>
      <c r="H716" s="199"/>
      <c r="I716" s="199"/>
      <c r="J716" s="199"/>
      <c r="K716" s="199"/>
      <c r="L716" s="199"/>
      <c r="M716" s="199"/>
      <c r="N716" s="199"/>
    </row>
    <row r="717" spans="6:14">
      <c r="F717" s="199"/>
      <c r="G717" s="199"/>
      <c r="H717" s="199"/>
      <c r="I717" s="199"/>
      <c r="J717" s="199"/>
      <c r="K717" s="199"/>
      <c r="L717" s="199"/>
      <c r="M717" s="199"/>
      <c r="N717" s="199"/>
    </row>
    <row r="718" spans="6:14">
      <c r="F718" s="199"/>
      <c r="G718" s="199"/>
      <c r="H718" s="199"/>
      <c r="I718" s="199"/>
      <c r="J718" s="199"/>
      <c r="K718" s="199"/>
      <c r="L718" s="199"/>
      <c r="M718" s="199"/>
      <c r="N718" s="199"/>
    </row>
    <row r="719" spans="6:14">
      <c r="F719" s="199"/>
      <c r="G719" s="199"/>
      <c r="H719" s="199"/>
      <c r="I719" s="199"/>
      <c r="J719" s="199"/>
      <c r="K719" s="199"/>
      <c r="L719" s="199"/>
      <c r="M719" s="199"/>
      <c r="N719" s="199"/>
    </row>
    <row r="720" spans="6:14">
      <c r="F720" s="199"/>
      <c r="G720" s="199"/>
      <c r="H720" s="199"/>
      <c r="I720" s="199"/>
      <c r="J720" s="199"/>
      <c r="K720" s="199"/>
      <c r="L720" s="199"/>
      <c r="M720" s="199"/>
      <c r="N720" s="199"/>
    </row>
    <row r="721" spans="6:14">
      <c r="F721" s="199"/>
      <c r="G721" s="199"/>
      <c r="H721" s="199"/>
      <c r="I721" s="199"/>
      <c r="J721" s="199"/>
      <c r="K721" s="199"/>
      <c r="L721" s="199"/>
      <c r="M721" s="199"/>
      <c r="N721" s="199"/>
    </row>
    <row r="722" spans="6:14">
      <c r="F722" s="199"/>
      <c r="G722" s="199"/>
      <c r="H722" s="199"/>
      <c r="I722" s="199"/>
      <c r="J722" s="199"/>
      <c r="K722" s="199"/>
      <c r="L722" s="199"/>
      <c r="M722" s="199"/>
      <c r="N722" s="199"/>
    </row>
    <row r="723" spans="6:14">
      <c r="F723" s="199"/>
      <c r="G723" s="199"/>
      <c r="H723" s="199"/>
      <c r="I723" s="199"/>
      <c r="J723" s="199"/>
      <c r="K723" s="199"/>
      <c r="L723" s="199"/>
      <c r="M723" s="199"/>
      <c r="N723" s="199"/>
    </row>
    <row r="724" spans="6:14">
      <c r="F724" s="199"/>
      <c r="G724" s="199"/>
      <c r="H724" s="199"/>
      <c r="I724" s="199"/>
      <c r="J724" s="199"/>
      <c r="K724" s="199"/>
      <c r="L724" s="199"/>
      <c r="M724" s="199"/>
      <c r="N724" s="199"/>
    </row>
    <row r="725" spans="6:14">
      <c r="F725" s="199"/>
      <c r="G725" s="199"/>
      <c r="H725" s="199"/>
      <c r="I725" s="199"/>
      <c r="J725" s="199"/>
      <c r="K725" s="199"/>
      <c r="L725" s="199"/>
      <c r="M725" s="199"/>
      <c r="N725" s="199"/>
    </row>
    <row r="726" spans="6:14">
      <c r="F726" s="199"/>
      <c r="G726" s="199"/>
      <c r="H726" s="199"/>
      <c r="I726" s="199"/>
      <c r="J726" s="199"/>
      <c r="K726" s="199"/>
      <c r="L726" s="199"/>
      <c r="M726" s="199"/>
      <c r="N726" s="199"/>
    </row>
    <row r="727" spans="6:14">
      <c r="F727" s="199"/>
      <c r="G727" s="199"/>
      <c r="H727" s="199"/>
      <c r="I727" s="199"/>
      <c r="J727" s="199"/>
      <c r="K727" s="199"/>
      <c r="L727" s="199"/>
      <c r="M727" s="199"/>
      <c r="N727" s="199"/>
    </row>
    <row r="728" spans="6:14">
      <c r="F728" s="199"/>
      <c r="G728" s="199"/>
      <c r="H728" s="199"/>
      <c r="I728" s="199"/>
      <c r="J728" s="199"/>
      <c r="K728" s="199"/>
      <c r="L728" s="199"/>
      <c r="M728" s="199"/>
      <c r="N728" s="199"/>
    </row>
    <row r="729" spans="6:14">
      <c r="F729" s="199"/>
      <c r="G729" s="199"/>
      <c r="H729" s="199"/>
      <c r="I729" s="199"/>
      <c r="J729" s="199"/>
      <c r="K729" s="199"/>
      <c r="L729" s="199"/>
      <c r="M729" s="199"/>
      <c r="N729" s="199"/>
    </row>
    <row r="730" spans="6:14">
      <c r="F730" s="199"/>
      <c r="G730" s="199"/>
      <c r="H730" s="199"/>
      <c r="I730" s="199"/>
      <c r="J730" s="199"/>
      <c r="K730" s="199"/>
      <c r="L730" s="199"/>
      <c r="M730" s="199"/>
      <c r="N730" s="199"/>
    </row>
    <row r="731" spans="6:14">
      <c r="F731" s="199"/>
      <c r="G731" s="199"/>
      <c r="H731" s="199"/>
      <c r="I731" s="199"/>
      <c r="J731" s="199"/>
      <c r="K731" s="199"/>
      <c r="L731" s="199"/>
      <c r="M731" s="199"/>
      <c r="N731" s="199"/>
    </row>
    <row r="732" spans="6:14">
      <c r="F732" s="199"/>
      <c r="G732" s="199"/>
      <c r="H732" s="199"/>
      <c r="I732" s="199"/>
      <c r="J732" s="199"/>
      <c r="K732" s="199"/>
      <c r="L732" s="199"/>
      <c r="M732" s="199"/>
      <c r="N732" s="199"/>
    </row>
    <row r="733" spans="6:14">
      <c r="F733" s="199"/>
      <c r="G733" s="199"/>
      <c r="H733" s="199"/>
      <c r="I733" s="199"/>
      <c r="J733" s="199"/>
      <c r="K733" s="199"/>
      <c r="L733" s="199"/>
      <c r="M733" s="199"/>
      <c r="N733" s="199"/>
    </row>
    <row r="734" spans="6:14">
      <c r="F734" s="199"/>
      <c r="G734" s="199"/>
      <c r="H734" s="199"/>
      <c r="I734" s="199"/>
      <c r="J734" s="199"/>
      <c r="K734" s="199"/>
      <c r="L734" s="199"/>
      <c r="M734" s="199"/>
      <c r="N734" s="199"/>
    </row>
    <row r="735" spans="6:14">
      <c r="F735" s="199"/>
      <c r="G735" s="199"/>
      <c r="H735" s="199"/>
      <c r="I735" s="199"/>
      <c r="J735" s="199"/>
      <c r="K735" s="199"/>
      <c r="L735" s="199"/>
      <c r="M735" s="199"/>
      <c r="N735" s="199"/>
    </row>
    <row r="736" spans="6:14">
      <c r="F736" s="199"/>
      <c r="G736" s="199"/>
      <c r="H736" s="199"/>
      <c r="I736" s="199"/>
      <c r="J736" s="199"/>
      <c r="K736" s="199"/>
      <c r="L736" s="199"/>
      <c r="M736" s="199"/>
      <c r="N736" s="199"/>
    </row>
    <row r="737" spans="6:14">
      <c r="F737" s="199"/>
      <c r="G737" s="199"/>
      <c r="H737" s="199"/>
      <c r="I737" s="199"/>
      <c r="J737" s="199"/>
      <c r="K737" s="199"/>
      <c r="L737" s="199"/>
      <c r="M737" s="199"/>
      <c r="N737" s="199"/>
    </row>
    <row r="738" spans="6:14">
      <c r="F738" s="199"/>
      <c r="G738" s="199"/>
      <c r="H738" s="199"/>
      <c r="I738" s="199"/>
      <c r="J738" s="199"/>
      <c r="K738" s="199"/>
      <c r="L738" s="199"/>
      <c r="M738" s="199"/>
      <c r="N738" s="199"/>
    </row>
    <row r="739" spans="6:14">
      <c r="F739" s="199"/>
      <c r="G739" s="199"/>
      <c r="H739" s="199"/>
      <c r="I739" s="199"/>
      <c r="J739" s="199"/>
      <c r="K739" s="199"/>
      <c r="L739" s="199"/>
      <c r="M739" s="199"/>
      <c r="N739" s="199"/>
    </row>
    <row r="740" spans="6:14">
      <c r="F740" s="199"/>
      <c r="G740" s="199"/>
      <c r="H740" s="199"/>
      <c r="I740" s="199"/>
      <c r="J740" s="199"/>
      <c r="K740" s="199"/>
      <c r="L740" s="199"/>
      <c r="M740" s="199"/>
      <c r="N740" s="199"/>
    </row>
    <row r="741" spans="6:14">
      <c r="F741" s="199"/>
      <c r="G741" s="199"/>
      <c r="H741" s="199"/>
      <c r="I741" s="199"/>
      <c r="J741" s="199"/>
      <c r="K741" s="199"/>
      <c r="L741" s="199"/>
      <c r="M741" s="199"/>
      <c r="N741" s="199"/>
    </row>
    <row r="742" spans="6:14">
      <c r="F742" s="199"/>
      <c r="G742" s="199"/>
      <c r="H742" s="199"/>
      <c r="I742" s="199"/>
      <c r="J742" s="199"/>
      <c r="K742" s="199"/>
      <c r="L742" s="199"/>
      <c r="M742" s="199"/>
      <c r="N742" s="199"/>
    </row>
    <row r="743" spans="6:14">
      <c r="F743" s="199"/>
      <c r="G743" s="199"/>
      <c r="H743" s="199"/>
      <c r="I743" s="199"/>
      <c r="J743" s="199"/>
      <c r="K743" s="199"/>
      <c r="L743" s="199"/>
      <c r="M743" s="199"/>
      <c r="N743" s="199"/>
    </row>
    <row r="744" spans="6:14">
      <c r="F744" s="199"/>
      <c r="G744" s="199"/>
      <c r="H744" s="199"/>
      <c r="I744" s="199"/>
      <c r="J744" s="199"/>
      <c r="K744" s="199"/>
      <c r="L744" s="199"/>
      <c r="M744" s="199"/>
      <c r="N744" s="199"/>
    </row>
    <row r="745" spans="6:14">
      <c r="F745" s="199"/>
      <c r="G745" s="199"/>
      <c r="H745" s="199"/>
      <c r="I745" s="199"/>
      <c r="J745" s="199"/>
      <c r="K745" s="199"/>
      <c r="L745" s="199"/>
      <c r="M745" s="199"/>
      <c r="N745" s="199"/>
    </row>
    <row r="746" spans="6:14">
      <c r="F746" s="199"/>
      <c r="G746" s="199"/>
      <c r="H746" s="199"/>
      <c r="I746" s="199"/>
      <c r="J746" s="199"/>
      <c r="K746" s="199"/>
      <c r="L746" s="199"/>
      <c r="M746" s="199"/>
      <c r="N746" s="199"/>
    </row>
    <row r="747" spans="6:14">
      <c r="F747" s="199"/>
      <c r="G747" s="199"/>
      <c r="H747" s="199"/>
      <c r="I747" s="199"/>
      <c r="J747" s="199"/>
      <c r="K747" s="199"/>
      <c r="L747" s="199"/>
      <c r="M747" s="199"/>
      <c r="N747" s="199"/>
    </row>
    <row r="748" spans="6:14">
      <c r="F748" s="199"/>
      <c r="G748" s="199"/>
      <c r="H748" s="199"/>
      <c r="I748" s="199"/>
      <c r="J748" s="199"/>
      <c r="K748" s="199"/>
      <c r="L748" s="199"/>
      <c r="M748" s="199"/>
      <c r="N748" s="199"/>
    </row>
    <row r="749" spans="6:14">
      <c r="F749" s="199"/>
      <c r="G749" s="199"/>
      <c r="H749" s="199"/>
      <c r="I749" s="199"/>
      <c r="J749" s="199"/>
      <c r="K749" s="199"/>
      <c r="L749" s="199"/>
      <c r="M749" s="199"/>
      <c r="N749" s="199"/>
    </row>
    <row r="750" spans="6:14">
      <c r="F750" s="199"/>
      <c r="G750" s="199"/>
      <c r="H750" s="199"/>
      <c r="I750" s="199"/>
      <c r="J750" s="199"/>
      <c r="K750" s="199"/>
      <c r="L750" s="199"/>
      <c r="M750" s="199"/>
      <c r="N750" s="199"/>
    </row>
    <row r="751" spans="6:14">
      <c r="F751" s="199"/>
      <c r="G751" s="199"/>
      <c r="H751" s="199"/>
      <c r="I751" s="199"/>
      <c r="J751" s="199"/>
      <c r="K751" s="199"/>
      <c r="L751" s="199"/>
      <c r="M751" s="199"/>
      <c r="N751" s="199"/>
    </row>
    <row r="752" spans="6:14">
      <c r="F752" s="199"/>
      <c r="G752" s="199"/>
      <c r="H752" s="199"/>
      <c r="I752" s="199"/>
      <c r="J752" s="199"/>
      <c r="K752" s="199"/>
      <c r="L752" s="199"/>
      <c r="M752" s="199"/>
      <c r="N752" s="199"/>
    </row>
    <row r="753" spans="6:14">
      <c r="F753" s="199"/>
      <c r="G753" s="199"/>
      <c r="H753" s="199"/>
      <c r="I753" s="199"/>
      <c r="J753" s="199"/>
      <c r="K753" s="199"/>
      <c r="L753" s="199"/>
      <c r="M753" s="199"/>
      <c r="N753" s="199"/>
    </row>
    <row r="754" spans="6:14">
      <c r="F754" s="199"/>
      <c r="G754" s="199"/>
      <c r="H754" s="199"/>
      <c r="I754" s="199"/>
      <c r="J754" s="199"/>
      <c r="K754" s="199"/>
      <c r="L754" s="199"/>
      <c r="M754" s="199"/>
      <c r="N754" s="199"/>
    </row>
    <row r="755" spans="6:14">
      <c r="F755" s="199"/>
      <c r="G755" s="199"/>
      <c r="H755" s="199"/>
      <c r="I755" s="199"/>
      <c r="J755" s="199"/>
      <c r="K755" s="199"/>
      <c r="L755" s="199"/>
      <c r="M755" s="199"/>
      <c r="N755" s="199"/>
    </row>
    <row r="756" spans="6:14">
      <c r="F756" s="199"/>
      <c r="G756" s="199"/>
      <c r="H756" s="199"/>
      <c r="I756" s="199"/>
      <c r="J756" s="199"/>
      <c r="K756" s="199"/>
      <c r="L756" s="199"/>
      <c r="M756" s="199"/>
      <c r="N756" s="199"/>
    </row>
    <row r="757" spans="6:14">
      <c r="F757" s="199"/>
      <c r="G757" s="199"/>
      <c r="H757" s="199"/>
      <c r="I757" s="199"/>
      <c r="J757" s="199"/>
      <c r="K757" s="199"/>
      <c r="L757" s="199"/>
      <c r="M757" s="199"/>
      <c r="N757" s="199"/>
    </row>
    <row r="758" spans="6:14">
      <c r="F758" s="199"/>
      <c r="G758" s="199"/>
      <c r="H758" s="199"/>
      <c r="I758" s="199"/>
      <c r="J758" s="199"/>
      <c r="K758" s="199"/>
      <c r="L758" s="199"/>
      <c r="M758" s="199"/>
      <c r="N758" s="199"/>
    </row>
    <row r="759" spans="6:14">
      <c r="F759" s="199"/>
      <c r="G759" s="199"/>
      <c r="H759" s="199"/>
      <c r="I759" s="199"/>
      <c r="J759" s="199"/>
      <c r="K759" s="199"/>
      <c r="L759" s="199"/>
      <c r="M759" s="199"/>
      <c r="N759" s="199"/>
    </row>
    <row r="760" spans="6:14">
      <c r="F760" s="199"/>
      <c r="G760" s="199"/>
      <c r="H760" s="199"/>
      <c r="I760" s="199"/>
      <c r="J760" s="199"/>
      <c r="K760" s="199"/>
      <c r="L760" s="199"/>
      <c r="M760" s="199"/>
      <c r="N760" s="199"/>
    </row>
    <row r="761" spans="6:14">
      <c r="F761" s="199"/>
      <c r="G761" s="199"/>
      <c r="H761" s="199"/>
      <c r="I761" s="199"/>
      <c r="J761" s="199"/>
      <c r="K761" s="199"/>
      <c r="L761" s="199"/>
      <c r="M761" s="199"/>
      <c r="N761" s="199"/>
    </row>
    <row r="762" spans="6:14">
      <c r="F762" s="199"/>
      <c r="G762" s="199"/>
      <c r="H762" s="199"/>
      <c r="I762" s="199"/>
      <c r="J762" s="199"/>
      <c r="K762" s="199"/>
      <c r="L762" s="199"/>
      <c r="M762" s="199"/>
      <c r="N762" s="199"/>
    </row>
    <row r="763" spans="6:14">
      <c r="F763" s="199"/>
      <c r="G763" s="199"/>
      <c r="H763" s="199"/>
      <c r="I763" s="199"/>
      <c r="J763" s="199"/>
      <c r="K763" s="199"/>
      <c r="L763" s="199"/>
      <c r="M763" s="199"/>
      <c r="N763" s="199"/>
    </row>
    <row r="764" spans="6:14">
      <c r="F764" s="199"/>
      <c r="G764" s="199"/>
      <c r="H764" s="199"/>
      <c r="I764" s="199"/>
      <c r="J764" s="199"/>
      <c r="K764" s="199"/>
      <c r="L764" s="199"/>
      <c r="M764" s="199"/>
      <c r="N764" s="199"/>
    </row>
    <row r="765" spans="6:14">
      <c r="F765" s="199"/>
      <c r="G765" s="199"/>
      <c r="H765" s="199"/>
      <c r="I765" s="199"/>
      <c r="J765" s="199"/>
      <c r="K765" s="199"/>
      <c r="L765" s="199"/>
      <c r="M765" s="199"/>
      <c r="N765" s="199"/>
    </row>
    <row r="766" spans="6:14">
      <c r="F766" s="199"/>
      <c r="G766" s="199"/>
      <c r="H766" s="199"/>
      <c r="I766" s="199"/>
      <c r="J766" s="199"/>
      <c r="K766" s="199"/>
      <c r="L766" s="199"/>
      <c r="M766" s="199"/>
      <c r="N766" s="199"/>
    </row>
    <row r="767" spans="6:14">
      <c r="F767" s="199"/>
      <c r="G767" s="199"/>
      <c r="H767" s="199"/>
      <c r="I767" s="199"/>
      <c r="J767" s="199"/>
      <c r="K767" s="199"/>
      <c r="L767" s="199"/>
      <c r="M767" s="199"/>
      <c r="N767" s="199"/>
    </row>
    <row r="768" spans="6:14">
      <c r="F768" s="199"/>
      <c r="G768" s="199"/>
      <c r="H768" s="199"/>
      <c r="I768" s="199"/>
      <c r="J768" s="199"/>
      <c r="K768" s="199"/>
      <c r="L768" s="199"/>
      <c r="M768" s="199"/>
      <c r="N768" s="199"/>
    </row>
    <row r="769" spans="6:14">
      <c r="F769" s="199"/>
      <c r="G769" s="199"/>
      <c r="H769" s="199"/>
      <c r="I769" s="199"/>
      <c r="J769" s="199"/>
      <c r="K769" s="199"/>
      <c r="L769" s="199"/>
      <c r="M769" s="199"/>
      <c r="N769" s="199"/>
    </row>
    <row r="770" spans="6:14">
      <c r="F770" s="199"/>
      <c r="G770" s="199"/>
      <c r="H770" s="199"/>
      <c r="I770" s="199"/>
      <c r="J770" s="199"/>
      <c r="K770" s="199"/>
      <c r="L770" s="199"/>
      <c r="M770" s="199"/>
      <c r="N770" s="199"/>
    </row>
    <row r="771" spans="6:14">
      <c r="F771" s="199"/>
      <c r="G771" s="199"/>
      <c r="H771" s="199"/>
      <c r="I771" s="199"/>
      <c r="J771" s="199"/>
      <c r="K771" s="199"/>
      <c r="L771" s="199"/>
      <c r="M771" s="199"/>
      <c r="N771" s="199"/>
    </row>
    <row r="772" spans="6:14">
      <c r="F772" s="199"/>
      <c r="G772" s="199"/>
      <c r="H772" s="199"/>
      <c r="I772" s="199"/>
      <c r="J772" s="199"/>
      <c r="K772" s="199"/>
      <c r="L772" s="199"/>
      <c r="M772" s="199"/>
      <c r="N772" s="199"/>
    </row>
    <row r="773" spans="6:14">
      <c r="F773" s="199"/>
      <c r="G773" s="199"/>
      <c r="H773" s="199"/>
      <c r="I773" s="199"/>
      <c r="J773" s="199"/>
      <c r="K773" s="199"/>
      <c r="L773" s="199"/>
      <c r="M773" s="199"/>
      <c r="N773" s="199"/>
    </row>
    <row r="774" spans="6:14">
      <c r="F774" s="199"/>
      <c r="G774" s="199"/>
      <c r="H774" s="199"/>
      <c r="I774" s="199"/>
      <c r="J774" s="199"/>
      <c r="K774" s="199"/>
      <c r="L774" s="199"/>
      <c r="M774" s="199"/>
      <c r="N774" s="199"/>
    </row>
    <row r="775" spans="6:14">
      <c r="F775" s="199"/>
      <c r="G775" s="199"/>
      <c r="H775" s="199"/>
      <c r="I775" s="199"/>
      <c r="J775" s="199"/>
      <c r="K775" s="199"/>
      <c r="L775" s="199"/>
      <c r="M775" s="199"/>
      <c r="N775" s="199"/>
    </row>
    <row r="776" spans="6:14">
      <c r="F776" s="199"/>
      <c r="G776" s="199"/>
      <c r="H776" s="199"/>
      <c r="I776" s="199"/>
      <c r="J776" s="199"/>
      <c r="K776" s="199"/>
      <c r="L776" s="199"/>
      <c r="M776" s="199"/>
      <c r="N776" s="199"/>
    </row>
    <row r="777" spans="6:14">
      <c r="F777" s="199"/>
      <c r="G777" s="199"/>
      <c r="H777" s="199"/>
      <c r="I777" s="199"/>
      <c r="J777" s="199"/>
      <c r="K777" s="199"/>
      <c r="L777" s="199"/>
      <c r="M777" s="199"/>
      <c r="N777" s="199"/>
    </row>
    <row r="778" spans="6:14">
      <c r="F778" s="199"/>
      <c r="G778" s="199"/>
      <c r="H778" s="199"/>
      <c r="I778" s="199"/>
      <c r="J778" s="199"/>
      <c r="K778" s="199"/>
      <c r="L778" s="199"/>
      <c r="M778" s="199"/>
      <c r="N778" s="199"/>
    </row>
    <row r="779" spans="6:14">
      <c r="F779" s="199"/>
      <c r="G779" s="199"/>
      <c r="H779" s="199"/>
      <c r="I779" s="199"/>
      <c r="J779" s="199"/>
      <c r="K779" s="199"/>
      <c r="L779" s="199"/>
      <c r="M779" s="199"/>
      <c r="N779" s="199"/>
    </row>
    <row r="780" spans="6:14">
      <c r="F780" s="199"/>
      <c r="G780" s="199"/>
      <c r="H780" s="199"/>
      <c r="I780" s="199"/>
      <c r="J780" s="199"/>
      <c r="K780" s="199"/>
      <c r="L780" s="199"/>
      <c r="M780" s="199"/>
      <c r="N780" s="199"/>
    </row>
    <row r="781" spans="6:14">
      <c r="F781" s="199"/>
      <c r="G781" s="199"/>
      <c r="H781" s="199"/>
      <c r="I781" s="199"/>
      <c r="J781" s="199"/>
      <c r="K781" s="199"/>
      <c r="L781" s="199"/>
      <c r="M781" s="199"/>
      <c r="N781" s="199"/>
    </row>
    <row r="782" spans="6:14">
      <c r="F782" s="199"/>
      <c r="G782" s="199"/>
      <c r="H782" s="199"/>
      <c r="I782" s="199"/>
      <c r="J782" s="199"/>
      <c r="K782" s="199"/>
      <c r="L782" s="199"/>
      <c r="M782" s="199"/>
      <c r="N782" s="199"/>
    </row>
    <row r="783" spans="6:14">
      <c r="F783" s="199"/>
      <c r="G783" s="199"/>
      <c r="H783" s="199"/>
      <c r="I783" s="199"/>
      <c r="J783" s="199"/>
      <c r="K783" s="199"/>
      <c r="L783" s="199"/>
      <c r="M783" s="199"/>
      <c r="N783" s="199"/>
    </row>
    <row r="784" spans="6:14">
      <c r="F784" s="199"/>
      <c r="G784" s="199"/>
      <c r="H784" s="199"/>
      <c r="I784" s="199"/>
      <c r="J784" s="199"/>
      <c r="K784" s="199"/>
      <c r="L784" s="199"/>
      <c r="M784" s="199"/>
      <c r="N784" s="199"/>
    </row>
    <row r="785" spans="6:14">
      <c r="F785" s="199"/>
      <c r="G785" s="199"/>
      <c r="H785" s="199"/>
      <c r="I785" s="199"/>
      <c r="J785" s="199"/>
      <c r="K785" s="199"/>
      <c r="L785" s="199"/>
      <c r="M785" s="199"/>
      <c r="N785" s="199"/>
    </row>
    <row r="786" spans="6:14">
      <c r="F786" s="199"/>
      <c r="G786" s="199"/>
      <c r="H786" s="199"/>
      <c r="I786" s="199"/>
      <c r="J786" s="199"/>
      <c r="K786" s="199"/>
      <c r="L786" s="199"/>
      <c r="M786" s="199"/>
      <c r="N786" s="199"/>
    </row>
    <row r="787" spans="6:14">
      <c r="F787" s="199"/>
      <c r="G787" s="199"/>
      <c r="H787" s="199"/>
      <c r="I787" s="199"/>
      <c r="J787" s="199"/>
      <c r="K787" s="199"/>
      <c r="L787" s="199"/>
      <c r="M787" s="199"/>
      <c r="N787" s="199"/>
    </row>
    <row r="788" spans="6:14">
      <c r="F788" s="199"/>
      <c r="G788" s="199"/>
      <c r="H788" s="199"/>
      <c r="I788" s="199"/>
      <c r="J788" s="199"/>
      <c r="K788" s="199"/>
      <c r="L788" s="199"/>
      <c r="M788" s="199"/>
      <c r="N788" s="199"/>
    </row>
    <row r="789" spans="6:14">
      <c r="F789" s="199"/>
      <c r="G789" s="199"/>
      <c r="H789" s="199"/>
      <c r="I789" s="199"/>
      <c r="J789" s="199"/>
      <c r="K789" s="199"/>
      <c r="L789" s="199"/>
      <c r="M789" s="199"/>
      <c r="N789" s="199"/>
    </row>
    <row r="790" spans="6:14">
      <c r="F790" s="199"/>
      <c r="G790" s="199"/>
      <c r="H790" s="199"/>
      <c r="I790" s="199"/>
      <c r="J790" s="199"/>
      <c r="K790" s="199"/>
      <c r="L790" s="199"/>
      <c r="M790" s="199"/>
      <c r="N790" s="199"/>
    </row>
    <row r="791" spans="6:14">
      <c r="F791" s="199"/>
      <c r="G791" s="199"/>
      <c r="H791" s="199"/>
      <c r="I791" s="199"/>
      <c r="J791" s="199"/>
      <c r="K791" s="199"/>
      <c r="L791" s="199"/>
      <c r="M791" s="199"/>
      <c r="N791" s="199"/>
    </row>
    <row r="792" spans="6:14">
      <c r="F792" s="199"/>
      <c r="G792" s="199"/>
      <c r="H792" s="199"/>
      <c r="I792" s="199"/>
      <c r="J792" s="199"/>
      <c r="K792" s="199"/>
      <c r="L792" s="199"/>
      <c r="M792" s="199"/>
      <c r="N792" s="199"/>
    </row>
    <row r="793" spans="6:14">
      <c r="F793" s="199"/>
      <c r="G793" s="199"/>
      <c r="H793" s="199"/>
      <c r="I793" s="199"/>
      <c r="J793" s="199"/>
      <c r="K793" s="199"/>
      <c r="L793" s="199"/>
      <c r="M793" s="199"/>
      <c r="N793" s="199"/>
    </row>
    <row r="794" spans="6:14">
      <c r="F794" s="199"/>
      <c r="G794" s="199"/>
      <c r="H794" s="199"/>
      <c r="I794" s="199"/>
      <c r="J794" s="199"/>
      <c r="K794" s="199"/>
      <c r="L794" s="199"/>
      <c r="M794" s="199"/>
      <c r="N794" s="199"/>
    </row>
    <row r="795" spans="6:14">
      <c r="F795" s="199"/>
      <c r="G795" s="199"/>
      <c r="H795" s="199"/>
      <c r="I795" s="199"/>
      <c r="J795" s="199"/>
      <c r="K795" s="199"/>
      <c r="L795" s="199"/>
      <c r="M795" s="199"/>
      <c r="N795" s="199"/>
    </row>
    <row r="796" spans="6:14">
      <c r="F796" s="199"/>
      <c r="G796" s="199"/>
      <c r="H796" s="199"/>
      <c r="I796" s="199"/>
      <c r="J796" s="199"/>
      <c r="K796" s="199"/>
      <c r="L796" s="199"/>
      <c r="M796" s="199"/>
      <c r="N796" s="199"/>
    </row>
    <row r="797" spans="6:14">
      <c r="F797" s="199"/>
      <c r="G797" s="199"/>
      <c r="H797" s="199"/>
      <c r="I797" s="199"/>
      <c r="J797" s="199"/>
      <c r="K797" s="199"/>
      <c r="L797" s="199"/>
      <c r="M797" s="199"/>
      <c r="N797" s="199"/>
    </row>
    <row r="798" spans="6:14">
      <c r="F798" s="199"/>
      <c r="G798" s="199"/>
      <c r="H798" s="199"/>
      <c r="I798" s="199"/>
      <c r="J798" s="199"/>
      <c r="K798" s="199"/>
      <c r="L798" s="199"/>
      <c r="M798" s="199"/>
      <c r="N798" s="199"/>
    </row>
    <row r="799" spans="6:14">
      <c r="F799" s="199"/>
      <c r="G799" s="199"/>
      <c r="H799" s="199"/>
      <c r="I799" s="199"/>
      <c r="J799" s="199"/>
      <c r="K799" s="199"/>
      <c r="L799" s="199"/>
      <c r="M799" s="199"/>
      <c r="N799" s="199"/>
    </row>
    <row r="800" spans="6:14">
      <c r="F800" s="199"/>
      <c r="G800" s="199"/>
      <c r="H800" s="199"/>
      <c r="I800" s="199"/>
      <c r="J800" s="199"/>
      <c r="K800" s="199"/>
      <c r="L800" s="199"/>
      <c r="M800" s="199"/>
      <c r="N800" s="199"/>
    </row>
    <row r="801" spans="6:14">
      <c r="F801" s="199"/>
      <c r="G801" s="199"/>
      <c r="H801" s="199"/>
      <c r="I801" s="199"/>
      <c r="J801" s="199"/>
      <c r="K801" s="199"/>
      <c r="L801" s="199"/>
      <c r="M801" s="199"/>
      <c r="N801" s="199"/>
    </row>
    <row r="802" spans="6:14">
      <c r="F802" s="199"/>
      <c r="G802" s="199"/>
      <c r="H802" s="199"/>
      <c r="I802" s="199"/>
      <c r="J802" s="199"/>
      <c r="K802" s="199"/>
      <c r="L802" s="199"/>
      <c r="M802" s="199"/>
      <c r="N802" s="199"/>
    </row>
    <row r="803" spans="6:14">
      <c r="F803" s="199"/>
      <c r="G803" s="199"/>
      <c r="H803" s="199"/>
      <c r="I803" s="199"/>
      <c r="J803" s="199"/>
      <c r="K803" s="199"/>
      <c r="L803" s="199"/>
      <c r="M803" s="199"/>
      <c r="N803" s="199"/>
    </row>
    <row r="804" spans="6:14">
      <c r="F804" s="199"/>
      <c r="G804" s="199"/>
      <c r="H804" s="199"/>
      <c r="I804" s="199"/>
      <c r="J804" s="199"/>
      <c r="K804" s="199"/>
      <c r="L804" s="199"/>
      <c r="M804" s="199"/>
      <c r="N804" s="199"/>
    </row>
    <row r="805" spans="6:14">
      <c r="F805" s="199"/>
      <c r="G805" s="199"/>
      <c r="H805" s="199"/>
      <c r="I805" s="199"/>
      <c r="J805" s="199"/>
      <c r="K805" s="199"/>
      <c r="L805" s="199"/>
      <c r="M805" s="199"/>
      <c r="N805" s="199"/>
    </row>
    <row r="806" spans="6:14">
      <c r="F806" s="199"/>
      <c r="G806" s="199"/>
      <c r="H806" s="199"/>
      <c r="I806" s="199"/>
      <c r="J806" s="199"/>
      <c r="K806" s="199"/>
      <c r="L806" s="199"/>
      <c r="M806" s="199"/>
      <c r="N806" s="199"/>
    </row>
    <row r="807" spans="6:14">
      <c r="F807" s="199"/>
      <c r="G807" s="199"/>
      <c r="H807" s="199"/>
      <c r="I807" s="199"/>
      <c r="J807" s="199"/>
      <c r="K807" s="199"/>
      <c r="L807" s="199"/>
      <c r="M807" s="199"/>
      <c r="N807" s="199"/>
    </row>
    <row r="808" spans="6:14">
      <c r="F808" s="199"/>
      <c r="G808" s="199"/>
      <c r="H808" s="199"/>
      <c r="I808" s="199"/>
      <c r="J808" s="199"/>
      <c r="K808" s="199"/>
      <c r="L808" s="199"/>
      <c r="M808" s="199"/>
      <c r="N808" s="199"/>
    </row>
    <row r="809" spans="6:14">
      <c r="F809" s="199"/>
      <c r="G809" s="199"/>
      <c r="H809" s="199"/>
      <c r="I809" s="199"/>
      <c r="J809" s="199"/>
      <c r="K809" s="199"/>
      <c r="L809" s="199"/>
      <c r="M809" s="199"/>
      <c r="N809" s="199"/>
    </row>
    <row r="810" spans="6:14">
      <c r="F810" s="199"/>
      <c r="G810" s="199"/>
      <c r="H810" s="199"/>
      <c r="I810" s="199"/>
      <c r="J810" s="199"/>
      <c r="K810" s="199"/>
      <c r="L810" s="199"/>
      <c r="M810" s="199"/>
      <c r="N810" s="199"/>
    </row>
    <row r="811" spans="6:14">
      <c r="F811" s="199"/>
      <c r="G811" s="199"/>
      <c r="H811" s="199"/>
      <c r="I811" s="199"/>
      <c r="J811" s="199"/>
      <c r="K811" s="199"/>
      <c r="L811" s="199"/>
      <c r="M811" s="199"/>
      <c r="N811" s="199"/>
    </row>
    <row r="812" spans="6:14">
      <c r="F812" s="199"/>
      <c r="G812" s="199"/>
      <c r="H812" s="199"/>
      <c r="I812" s="199"/>
      <c r="J812" s="199"/>
      <c r="K812" s="199"/>
      <c r="L812" s="199"/>
      <c r="M812" s="199"/>
      <c r="N812" s="199"/>
    </row>
    <row r="813" spans="6:14">
      <c r="F813" s="199"/>
      <c r="G813" s="199"/>
      <c r="H813" s="199"/>
      <c r="I813" s="199"/>
      <c r="J813" s="199"/>
      <c r="K813" s="199"/>
      <c r="L813" s="199"/>
      <c r="M813" s="199"/>
      <c r="N813" s="199"/>
    </row>
    <row r="814" spans="6:14">
      <c r="F814" s="199"/>
      <c r="G814" s="199"/>
      <c r="H814" s="199"/>
      <c r="I814" s="199"/>
      <c r="J814" s="199"/>
      <c r="K814" s="199"/>
      <c r="L814" s="199"/>
      <c r="M814" s="199"/>
      <c r="N814" s="199"/>
    </row>
    <row r="815" spans="6:14">
      <c r="F815" s="199"/>
      <c r="G815" s="199"/>
      <c r="H815" s="199"/>
      <c r="I815" s="199"/>
      <c r="J815" s="199"/>
      <c r="K815" s="199"/>
      <c r="L815" s="199"/>
      <c r="M815" s="199"/>
      <c r="N815" s="199"/>
    </row>
    <row r="816" spans="6:14">
      <c r="F816" s="199"/>
      <c r="G816" s="199"/>
      <c r="H816" s="199"/>
      <c r="I816" s="199"/>
      <c r="J816" s="199"/>
      <c r="K816" s="199"/>
      <c r="L816" s="199"/>
      <c r="M816" s="199"/>
      <c r="N816" s="199"/>
    </row>
    <row r="817" spans="6:14">
      <c r="F817" s="199"/>
      <c r="G817" s="199"/>
      <c r="H817" s="199"/>
      <c r="I817" s="199"/>
      <c r="J817" s="199"/>
      <c r="K817" s="199"/>
      <c r="L817" s="199"/>
      <c r="M817" s="199"/>
      <c r="N817" s="199"/>
    </row>
    <row r="818" spans="6:14">
      <c r="F818" s="199"/>
      <c r="G818" s="199"/>
      <c r="H818" s="199"/>
      <c r="I818" s="199"/>
      <c r="J818" s="199"/>
      <c r="K818" s="199"/>
      <c r="L818" s="199"/>
      <c r="M818" s="199"/>
      <c r="N818" s="199"/>
    </row>
    <row r="819" spans="6:14">
      <c r="F819" s="199"/>
      <c r="G819" s="199"/>
      <c r="H819" s="199"/>
      <c r="I819" s="199"/>
      <c r="J819" s="199"/>
      <c r="K819" s="199"/>
      <c r="L819" s="199"/>
      <c r="M819" s="199"/>
      <c r="N819" s="199"/>
    </row>
    <row r="820" spans="6:14">
      <c r="F820" s="199"/>
      <c r="G820" s="199"/>
      <c r="H820" s="199"/>
      <c r="I820" s="199"/>
      <c r="J820" s="199"/>
      <c r="K820" s="199"/>
      <c r="L820" s="199"/>
      <c r="M820" s="199"/>
      <c r="N820" s="199"/>
    </row>
    <row r="821" spans="6:14">
      <c r="F821" s="199"/>
      <c r="G821" s="199"/>
      <c r="H821" s="199"/>
      <c r="I821" s="199"/>
      <c r="J821" s="199"/>
      <c r="K821" s="199"/>
      <c r="L821" s="199"/>
      <c r="M821" s="199"/>
      <c r="N821" s="199"/>
    </row>
    <row r="822" spans="6:14">
      <c r="F822" s="199"/>
      <c r="G822" s="199"/>
      <c r="H822" s="199"/>
      <c r="I822" s="199"/>
      <c r="J822" s="199"/>
      <c r="K822" s="199"/>
      <c r="L822" s="199"/>
      <c r="M822" s="199"/>
      <c r="N822" s="199"/>
    </row>
    <row r="823" spans="6:14">
      <c r="F823" s="199"/>
      <c r="G823" s="199"/>
      <c r="H823" s="199"/>
      <c r="I823" s="199"/>
      <c r="J823" s="199"/>
      <c r="K823" s="199"/>
      <c r="L823" s="199"/>
      <c r="M823" s="199"/>
      <c r="N823" s="199"/>
    </row>
    <row r="824" spans="6:14">
      <c r="F824" s="199"/>
      <c r="G824" s="199"/>
      <c r="H824" s="199"/>
      <c r="I824" s="199"/>
      <c r="J824" s="199"/>
      <c r="K824" s="199"/>
      <c r="L824" s="199"/>
      <c r="M824" s="199"/>
      <c r="N824" s="199"/>
    </row>
    <row r="825" spans="6:14">
      <c r="F825" s="199"/>
      <c r="G825" s="199"/>
      <c r="H825" s="199"/>
      <c r="I825" s="199"/>
      <c r="J825" s="199"/>
      <c r="K825" s="199"/>
      <c r="L825" s="199"/>
      <c r="M825" s="199"/>
      <c r="N825" s="199"/>
    </row>
    <row r="826" spans="6:14">
      <c r="F826" s="199"/>
      <c r="G826" s="199"/>
      <c r="H826" s="199"/>
      <c r="I826" s="199"/>
      <c r="J826" s="199"/>
      <c r="K826" s="199"/>
      <c r="L826" s="199"/>
      <c r="M826" s="199"/>
      <c r="N826" s="199"/>
    </row>
    <row r="827" spans="6:14">
      <c r="F827" s="199"/>
      <c r="G827" s="199"/>
      <c r="H827" s="199"/>
      <c r="I827" s="199"/>
      <c r="J827" s="199"/>
      <c r="K827" s="199"/>
      <c r="L827" s="199"/>
      <c r="M827" s="199"/>
      <c r="N827" s="199"/>
    </row>
    <row r="828" spans="6:14">
      <c r="F828" s="199"/>
      <c r="G828" s="199"/>
      <c r="H828" s="199"/>
      <c r="I828" s="199"/>
      <c r="J828" s="199"/>
      <c r="K828" s="199"/>
      <c r="L828" s="199"/>
      <c r="M828" s="199"/>
      <c r="N828" s="199"/>
    </row>
    <row r="829" spans="6:14">
      <c r="F829" s="199"/>
      <c r="G829" s="199"/>
      <c r="H829" s="199"/>
      <c r="I829" s="199"/>
      <c r="J829" s="199"/>
      <c r="K829" s="199"/>
      <c r="L829" s="199"/>
      <c r="M829" s="199"/>
      <c r="N829" s="199"/>
    </row>
    <row r="830" spans="6:14">
      <c r="F830" s="199"/>
      <c r="G830" s="199"/>
      <c r="H830" s="199"/>
      <c r="I830" s="199"/>
      <c r="J830" s="199"/>
      <c r="K830" s="199"/>
      <c r="L830" s="199"/>
      <c r="M830" s="199"/>
      <c r="N830" s="199"/>
    </row>
    <row r="831" spans="6:14">
      <c r="F831" s="199"/>
      <c r="G831" s="199"/>
      <c r="H831" s="199"/>
      <c r="I831" s="199"/>
      <c r="J831" s="199"/>
      <c r="K831" s="199"/>
      <c r="L831" s="199"/>
      <c r="M831" s="199"/>
      <c r="N831" s="199"/>
    </row>
    <row r="832" spans="6:14">
      <c r="F832" s="199"/>
      <c r="G832" s="199"/>
      <c r="H832" s="199"/>
      <c r="I832" s="199"/>
      <c r="J832" s="199"/>
      <c r="K832" s="199"/>
      <c r="L832" s="199"/>
      <c r="M832" s="199"/>
      <c r="N832" s="199"/>
    </row>
    <row r="833" spans="6:14">
      <c r="F833" s="199"/>
      <c r="G833" s="199"/>
      <c r="H833" s="199"/>
      <c r="I833" s="199"/>
      <c r="J833" s="199"/>
      <c r="K833" s="199"/>
      <c r="L833" s="199"/>
      <c r="M833" s="199"/>
      <c r="N833" s="199"/>
    </row>
    <row r="834" spans="6:14">
      <c r="F834" s="199"/>
      <c r="G834" s="199"/>
      <c r="H834" s="199"/>
      <c r="I834" s="199"/>
      <c r="J834" s="199"/>
      <c r="K834" s="199"/>
      <c r="L834" s="199"/>
      <c r="M834" s="199"/>
      <c r="N834" s="199"/>
    </row>
    <row r="835" spans="6:14">
      <c r="F835" s="199"/>
      <c r="G835" s="199"/>
      <c r="H835" s="199"/>
      <c r="I835" s="199"/>
      <c r="J835" s="199"/>
      <c r="K835" s="199"/>
      <c r="L835" s="199"/>
      <c r="M835" s="199"/>
      <c r="N835" s="199"/>
    </row>
    <row r="836" spans="6:14">
      <c r="F836" s="199"/>
      <c r="G836" s="199"/>
      <c r="H836" s="199"/>
      <c r="I836" s="199"/>
      <c r="J836" s="199"/>
      <c r="K836" s="199"/>
      <c r="L836" s="199"/>
      <c r="M836" s="199"/>
      <c r="N836" s="199"/>
    </row>
    <row r="837" spans="6:14">
      <c r="F837" s="199"/>
      <c r="G837" s="199"/>
      <c r="H837" s="199"/>
      <c r="I837" s="199"/>
      <c r="J837" s="199"/>
      <c r="K837" s="199"/>
      <c r="L837" s="199"/>
      <c r="M837" s="199"/>
      <c r="N837" s="199"/>
    </row>
    <row r="838" spans="6:14">
      <c r="F838" s="199"/>
      <c r="G838" s="199"/>
      <c r="H838" s="199"/>
      <c r="I838" s="199"/>
      <c r="J838" s="199"/>
      <c r="K838" s="199"/>
      <c r="L838" s="199"/>
      <c r="M838" s="199"/>
      <c r="N838" s="199"/>
    </row>
    <row r="839" spans="6:14">
      <c r="F839" s="199"/>
      <c r="G839" s="199"/>
      <c r="H839" s="199"/>
      <c r="I839" s="199"/>
      <c r="J839" s="199"/>
      <c r="K839" s="199"/>
      <c r="L839" s="199"/>
      <c r="M839" s="199"/>
      <c r="N839" s="199"/>
    </row>
    <row r="840" spans="6:14">
      <c r="F840" s="199"/>
      <c r="G840" s="199"/>
      <c r="H840" s="199"/>
      <c r="I840" s="199"/>
      <c r="J840" s="199"/>
      <c r="K840" s="199"/>
      <c r="L840" s="199"/>
      <c r="M840" s="199"/>
      <c r="N840" s="199"/>
    </row>
    <row r="841" spans="6:14">
      <c r="F841" s="199"/>
      <c r="G841" s="199"/>
      <c r="H841" s="199"/>
      <c r="I841" s="199"/>
      <c r="J841" s="199"/>
      <c r="K841" s="199"/>
      <c r="L841" s="199"/>
      <c r="M841" s="199"/>
      <c r="N841" s="199"/>
    </row>
    <row r="842" spans="6:14">
      <c r="F842" s="199"/>
      <c r="G842" s="199"/>
      <c r="H842" s="199"/>
      <c r="I842" s="199"/>
      <c r="J842" s="199"/>
      <c r="K842" s="199"/>
      <c r="L842" s="199"/>
      <c r="M842" s="199"/>
      <c r="N842" s="199"/>
    </row>
    <row r="843" spans="6:14">
      <c r="F843" s="199"/>
      <c r="G843" s="199"/>
      <c r="H843" s="199"/>
      <c r="I843" s="199"/>
      <c r="J843" s="199"/>
      <c r="K843" s="199"/>
      <c r="L843" s="199"/>
      <c r="M843" s="199"/>
      <c r="N843" s="199"/>
    </row>
    <row r="844" spans="6:14">
      <c r="F844" s="199"/>
      <c r="G844" s="199"/>
      <c r="H844" s="199"/>
      <c r="I844" s="199"/>
      <c r="J844" s="199"/>
      <c r="K844" s="199"/>
      <c r="L844" s="199"/>
      <c r="M844" s="199"/>
      <c r="N844" s="199"/>
    </row>
    <row r="845" spans="6:14">
      <c r="F845" s="199"/>
      <c r="G845" s="199"/>
      <c r="H845" s="199"/>
      <c r="I845" s="199"/>
      <c r="J845" s="199"/>
      <c r="K845" s="199"/>
      <c r="L845" s="199"/>
      <c r="M845" s="199"/>
      <c r="N845" s="199"/>
    </row>
    <row r="846" spans="6:14">
      <c r="F846" s="199"/>
      <c r="G846" s="199"/>
      <c r="H846" s="199"/>
      <c r="I846" s="199"/>
      <c r="J846" s="199"/>
      <c r="K846" s="199"/>
      <c r="L846" s="199"/>
      <c r="M846" s="199"/>
      <c r="N846" s="199"/>
    </row>
    <row r="847" spans="6:14">
      <c r="F847" s="199"/>
      <c r="G847" s="199"/>
      <c r="H847" s="199"/>
      <c r="I847" s="199"/>
      <c r="J847" s="199"/>
      <c r="K847" s="199"/>
      <c r="L847" s="199"/>
      <c r="M847" s="199"/>
      <c r="N847" s="199"/>
    </row>
    <row r="848" spans="6:14">
      <c r="F848" s="199"/>
      <c r="G848" s="199"/>
      <c r="H848" s="199"/>
      <c r="I848" s="199"/>
      <c r="J848" s="199"/>
      <c r="K848" s="199"/>
      <c r="L848" s="199"/>
      <c r="M848" s="199"/>
      <c r="N848" s="199"/>
    </row>
    <row r="849" spans="6:14">
      <c r="F849" s="199"/>
      <c r="G849" s="199"/>
      <c r="H849" s="199"/>
      <c r="I849" s="199"/>
      <c r="J849" s="199"/>
      <c r="K849" s="199"/>
      <c r="L849" s="199"/>
      <c r="M849" s="199"/>
      <c r="N849" s="199"/>
    </row>
    <row r="850" spans="6:14">
      <c r="F850" s="199"/>
      <c r="G850" s="199"/>
      <c r="H850" s="199"/>
      <c r="I850" s="199"/>
      <c r="J850" s="199"/>
      <c r="K850" s="199"/>
      <c r="L850" s="199"/>
      <c r="M850" s="199"/>
      <c r="N850" s="199"/>
    </row>
    <row r="851" spans="6:14">
      <c r="F851" s="199"/>
      <c r="G851" s="199"/>
      <c r="H851" s="199"/>
      <c r="I851" s="199"/>
      <c r="J851" s="199"/>
      <c r="K851" s="199"/>
      <c r="L851" s="199"/>
      <c r="M851" s="199"/>
      <c r="N851" s="199"/>
    </row>
    <row r="852" spans="6:14">
      <c r="F852" s="199"/>
      <c r="G852" s="199"/>
      <c r="H852" s="199"/>
      <c r="I852" s="199"/>
      <c r="J852" s="199"/>
      <c r="K852" s="199"/>
      <c r="L852" s="199"/>
      <c r="M852" s="199"/>
      <c r="N852" s="199"/>
    </row>
    <row r="853" spans="6:14">
      <c r="F853" s="199"/>
      <c r="G853" s="199"/>
      <c r="H853" s="199"/>
      <c r="I853" s="199"/>
      <c r="J853" s="199"/>
      <c r="K853" s="199"/>
      <c r="L853" s="199"/>
      <c r="M853" s="199"/>
      <c r="N853" s="199"/>
    </row>
    <row r="854" spans="6:14">
      <c r="F854" s="199"/>
      <c r="G854" s="199"/>
      <c r="H854" s="199"/>
      <c r="I854" s="199"/>
      <c r="J854" s="199"/>
      <c r="K854" s="199"/>
      <c r="L854" s="199"/>
      <c r="M854" s="199"/>
      <c r="N854" s="199"/>
    </row>
    <row r="855" spans="6:14">
      <c r="F855" s="199"/>
      <c r="G855" s="199"/>
      <c r="H855" s="199"/>
      <c r="I855" s="199"/>
      <c r="J855" s="199"/>
      <c r="K855" s="199"/>
      <c r="L855" s="199"/>
      <c r="M855" s="199"/>
      <c r="N855" s="199"/>
    </row>
    <row r="856" spans="6:14">
      <c r="F856" s="199"/>
      <c r="G856" s="199"/>
      <c r="H856" s="199"/>
      <c r="I856" s="199"/>
      <c r="J856" s="199"/>
      <c r="K856" s="199"/>
      <c r="L856" s="199"/>
      <c r="M856" s="199"/>
      <c r="N856" s="199"/>
    </row>
    <row r="857" spans="6:14">
      <c r="F857" s="199"/>
      <c r="G857" s="199"/>
      <c r="H857" s="199"/>
      <c r="I857" s="199"/>
      <c r="J857" s="199"/>
      <c r="K857" s="199"/>
      <c r="L857" s="199"/>
      <c r="M857" s="199"/>
      <c r="N857" s="199"/>
    </row>
    <row r="858" spans="6:14">
      <c r="F858" s="199"/>
      <c r="G858" s="199"/>
      <c r="H858" s="199"/>
      <c r="I858" s="199"/>
      <c r="J858" s="199"/>
      <c r="K858" s="199"/>
      <c r="L858" s="199"/>
      <c r="M858" s="199"/>
      <c r="N858" s="199"/>
    </row>
    <row r="859" spans="6:14">
      <c r="F859" s="199"/>
      <c r="G859" s="199"/>
      <c r="H859" s="199"/>
      <c r="I859" s="199"/>
      <c r="J859" s="199"/>
      <c r="K859" s="199"/>
      <c r="L859" s="199"/>
      <c r="M859" s="199"/>
      <c r="N859" s="199"/>
    </row>
    <row r="860" spans="6:14">
      <c r="F860" s="199"/>
      <c r="G860" s="199"/>
      <c r="H860" s="199"/>
      <c r="I860" s="199"/>
      <c r="J860" s="199"/>
      <c r="K860" s="199"/>
      <c r="L860" s="199"/>
      <c r="M860" s="199"/>
      <c r="N860" s="199"/>
    </row>
    <row r="861" spans="6:14">
      <c r="F861" s="199"/>
      <c r="G861" s="199"/>
      <c r="H861" s="199"/>
      <c r="I861" s="199"/>
      <c r="J861" s="199"/>
      <c r="K861" s="199"/>
      <c r="L861" s="199"/>
      <c r="M861" s="199"/>
      <c r="N861" s="199"/>
    </row>
    <row r="862" spans="6:14">
      <c r="F862" s="199"/>
      <c r="G862" s="199"/>
      <c r="H862" s="199"/>
      <c r="I862" s="199"/>
      <c r="J862" s="199"/>
      <c r="K862" s="199"/>
      <c r="L862" s="199"/>
      <c r="M862" s="199"/>
      <c r="N862" s="199"/>
    </row>
    <row r="863" spans="6:14">
      <c r="F863" s="199"/>
      <c r="G863" s="199"/>
      <c r="H863" s="199"/>
      <c r="I863" s="199"/>
      <c r="J863" s="199"/>
      <c r="K863" s="199"/>
      <c r="L863" s="199"/>
      <c r="M863" s="199"/>
      <c r="N863" s="199"/>
    </row>
    <row r="864" spans="6:14">
      <c r="F864" s="199"/>
      <c r="G864" s="199"/>
      <c r="H864" s="199"/>
      <c r="I864" s="199"/>
      <c r="J864" s="199"/>
      <c r="K864" s="199"/>
      <c r="L864" s="199"/>
      <c r="M864" s="199"/>
      <c r="N864" s="199"/>
    </row>
    <row r="865" spans="6:14">
      <c r="F865" s="199"/>
      <c r="G865" s="199"/>
      <c r="H865" s="199"/>
      <c r="I865" s="199"/>
      <c r="J865" s="199"/>
      <c r="K865" s="199"/>
      <c r="L865" s="199"/>
      <c r="M865" s="199"/>
      <c r="N865" s="199"/>
    </row>
    <row r="866" spans="6:14">
      <c r="F866" s="199"/>
      <c r="G866" s="199"/>
      <c r="H866" s="199"/>
      <c r="I866" s="199"/>
      <c r="J866" s="199"/>
      <c r="K866" s="199"/>
      <c r="L866" s="199"/>
      <c r="M866" s="199"/>
      <c r="N866" s="199"/>
    </row>
    <row r="867" spans="6:14">
      <c r="F867" s="199"/>
      <c r="G867" s="199"/>
      <c r="H867" s="199"/>
      <c r="I867" s="199"/>
      <c r="J867" s="199"/>
      <c r="K867" s="199"/>
      <c r="L867" s="199"/>
      <c r="M867" s="199"/>
      <c r="N867" s="199"/>
    </row>
    <row r="868" spans="6:14">
      <c r="F868" s="199"/>
      <c r="G868" s="199"/>
      <c r="H868" s="199"/>
      <c r="I868" s="199"/>
      <c r="J868" s="199"/>
      <c r="K868" s="199"/>
      <c r="L868" s="199"/>
      <c r="M868" s="199"/>
      <c r="N868" s="199"/>
    </row>
    <row r="869" spans="6:14">
      <c r="F869" s="199"/>
      <c r="G869" s="199"/>
      <c r="H869" s="199"/>
      <c r="I869" s="199"/>
      <c r="J869" s="199"/>
      <c r="K869" s="199"/>
      <c r="L869" s="199"/>
      <c r="M869" s="199"/>
      <c r="N869" s="199"/>
    </row>
    <row r="870" spans="6:14">
      <c r="F870" s="199"/>
      <c r="G870" s="199"/>
      <c r="H870" s="199"/>
      <c r="I870" s="199"/>
      <c r="J870" s="199"/>
      <c r="K870" s="199"/>
      <c r="L870" s="199"/>
      <c r="M870" s="199"/>
      <c r="N870" s="199"/>
    </row>
    <row r="871" spans="6:14">
      <c r="F871" s="199"/>
      <c r="G871" s="199"/>
      <c r="H871" s="199"/>
      <c r="I871" s="199"/>
      <c r="J871" s="199"/>
      <c r="K871" s="199"/>
      <c r="L871" s="199"/>
      <c r="M871" s="199"/>
      <c r="N871" s="199"/>
    </row>
    <row r="872" spans="6:14">
      <c r="F872" s="199"/>
      <c r="G872" s="199"/>
      <c r="H872" s="199"/>
      <c r="I872" s="199"/>
      <c r="J872" s="199"/>
      <c r="K872" s="199"/>
      <c r="L872" s="199"/>
      <c r="M872" s="199"/>
      <c r="N872" s="199"/>
    </row>
    <row r="873" spans="6:14">
      <c r="F873" s="199"/>
      <c r="G873" s="199"/>
      <c r="H873" s="199"/>
      <c r="I873" s="199"/>
      <c r="J873" s="199"/>
      <c r="K873" s="199"/>
      <c r="L873" s="199"/>
      <c r="M873" s="199"/>
      <c r="N873" s="199"/>
    </row>
    <row r="874" spans="6:14">
      <c r="F874" s="199"/>
      <c r="G874" s="199"/>
      <c r="H874" s="199"/>
      <c r="I874" s="199"/>
      <c r="J874" s="199"/>
      <c r="K874" s="199"/>
      <c r="L874" s="199"/>
      <c r="M874" s="199"/>
      <c r="N874" s="199"/>
    </row>
    <row r="875" spans="6:14">
      <c r="F875" s="199"/>
      <c r="G875" s="199"/>
      <c r="H875" s="199"/>
      <c r="I875" s="199"/>
      <c r="J875" s="199"/>
      <c r="K875" s="199"/>
      <c r="L875" s="199"/>
      <c r="M875" s="199"/>
      <c r="N875" s="199"/>
    </row>
    <row r="876" spans="6:14">
      <c r="F876" s="199"/>
      <c r="G876" s="199"/>
      <c r="H876" s="199"/>
      <c r="I876" s="199"/>
      <c r="J876" s="199"/>
      <c r="K876" s="199"/>
      <c r="L876" s="199"/>
      <c r="M876" s="199"/>
      <c r="N876" s="199"/>
    </row>
    <row r="877" spans="6:14">
      <c r="F877" s="199"/>
      <c r="G877" s="199"/>
      <c r="H877" s="199"/>
      <c r="I877" s="199"/>
      <c r="J877" s="199"/>
      <c r="K877" s="199"/>
      <c r="L877" s="199"/>
      <c r="M877" s="199"/>
      <c r="N877" s="199"/>
    </row>
    <row r="878" spans="6:14">
      <c r="F878" s="199"/>
      <c r="G878" s="199"/>
      <c r="H878" s="199"/>
      <c r="I878" s="199"/>
      <c r="J878" s="199"/>
      <c r="K878" s="199"/>
      <c r="L878" s="199"/>
      <c r="M878" s="199"/>
      <c r="N878" s="199"/>
    </row>
    <row r="879" spans="6:14">
      <c r="F879" s="199"/>
      <c r="G879" s="199"/>
      <c r="H879" s="199"/>
      <c r="I879" s="199"/>
      <c r="J879" s="199"/>
      <c r="K879" s="199"/>
      <c r="L879" s="199"/>
      <c r="M879" s="199"/>
      <c r="N879" s="199"/>
    </row>
    <row r="880" spans="6:14">
      <c r="F880" s="199"/>
      <c r="G880" s="199"/>
      <c r="H880" s="199"/>
      <c r="I880" s="199"/>
      <c r="J880" s="199"/>
      <c r="K880" s="199"/>
      <c r="L880" s="199"/>
      <c r="M880" s="199"/>
      <c r="N880" s="199"/>
    </row>
    <row r="881" spans="6:14">
      <c r="F881" s="199"/>
      <c r="G881" s="199"/>
      <c r="H881" s="199"/>
      <c r="I881" s="199"/>
      <c r="J881" s="199"/>
      <c r="K881" s="199"/>
      <c r="L881" s="199"/>
      <c r="M881" s="199"/>
      <c r="N881" s="199"/>
    </row>
    <row r="882" spans="6:14">
      <c r="F882" s="199"/>
      <c r="G882" s="199"/>
      <c r="H882" s="199"/>
      <c r="I882" s="199"/>
      <c r="J882" s="199"/>
      <c r="K882" s="199"/>
      <c r="L882" s="199"/>
      <c r="M882" s="199"/>
      <c r="N882" s="199"/>
    </row>
    <row r="883" spans="6:14">
      <c r="F883" s="199"/>
      <c r="G883" s="199"/>
      <c r="H883" s="199"/>
      <c r="I883" s="199"/>
      <c r="J883" s="199"/>
      <c r="K883" s="199"/>
      <c r="L883" s="199"/>
      <c r="M883" s="199"/>
      <c r="N883" s="199"/>
    </row>
    <row r="884" spans="6:14">
      <c r="F884" s="199"/>
      <c r="G884" s="199"/>
      <c r="H884" s="199"/>
      <c r="I884" s="199"/>
      <c r="J884" s="199"/>
      <c r="K884" s="199"/>
      <c r="L884" s="199"/>
      <c r="M884" s="199"/>
      <c r="N884" s="199"/>
    </row>
    <row r="885" spans="6:14">
      <c r="F885" s="199"/>
      <c r="G885" s="199"/>
      <c r="H885" s="199"/>
      <c r="I885" s="199"/>
      <c r="J885" s="199"/>
      <c r="K885" s="199"/>
      <c r="L885" s="199"/>
      <c r="M885" s="199"/>
      <c r="N885" s="199"/>
    </row>
    <row r="886" spans="6:14">
      <c r="F886" s="199"/>
      <c r="G886" s="199"/>
      <c r="H886" s="199"/>
      <c r="I886" s="199"/>
      <c r="J886" s="199"/>
      <c r="K886" s="199"/>
      <c r="L886" s="199"/>
      <c r="M886" s="199"/>
      <c r="N886" s="199"/>
    </row>
    <row r="887" spans="6:14">
      <c r="F887" s="199"/>
      <c r="G887" s="199"/>
      <c r="H887" s="199"/>
      <c r="I887" s="199"/>
      <c r="J887" s="199"/>
      <c r="K887" s="199"/>
      <c r="L887" s="199"/>
      <c r="M887" s="199"/>
      <c r="N887" s="199"/>
    </row>
    <row r="888" spans="6:14">
      <c r="F888" s="199"/>
      <c r="G888" s="199"/>
      <c r="H888" s="199"/>
      <c r="I888" s="199"/>
      <c r="J888" s="199"/>
      <c r="K888" s="199"/>
      <c r="L888" s="199"/>
      <c r="M888" s="199"/>
      <c r="N888" s="199"/>
    </row>
    <row r="889" spans="6:14">
      <c r="F889" s="199"/>
      <c r="G889" s="199"/>
      <c r="H889" s="199"/>
      <c r="I889" s="199"/>
      <c r="J889" s="199"/>
      <c r="K889" s="199"/>
      <c r="L889" s="199"/>
      <c r="M889" s="199"/>
      <c r="N889" s="199"/>
    </row>
    <row r="890" spans="6:14">
      <c r="F890" s="199"/>
      <c r="G890" s="199"/>
      <c r="H890" s="199"/>
      <c r="I890" s="199"/>
      <c r="J890" s="199"/>
      <c r="K890" s="199"/>
      <c r="L890" s="199"/>
      <c r="M890" s="199"/>
      <c r="N890" s="199"/>
    </row>
    <row r="891" spans="6:14">
      <c r="F891" s="199"/>
      <c r="G891" s="199"/>
      <c r="H891" s="199"/>
      <c r="I891" s="199"/>
      <c r="J891" s="199"/>
      <c r="K891" s="199"/>
      <c r="L891" s="199"/>
      <c r="M891" s="199"/>
      <c r="N891" s="199"/>
    </row>
    <row r="892" spans="6:14">
      <c r="F892" s="199"/>
      <c r="G892" s="199"/>
      <c r="H892" s="199"/>
      <c r="I892" s="199"/>
      <c r="J892" s="199"/>
      <c r="K892" s="199"/>
      <c r="L892" s="199"/>
      <c r="M892" s="199"/>
      <c r="N892" s="199"/>
    </row>
    <row r="893" spans="6:14">
      <c r="F893" s="199"/>
      <c r="G893" s="199"/>
      <c r="H893" s="199"/>
      <c r="I893" s="199"/>
      <c r="J893" s="199"/>
      <c r="K893" s="199"/>
      <c r="L893" s="199"/>
      <c r="M893" s="199"/>
      <c r="N893" s="199"/>
    </row>
    <row r="894" spans="6:14">
      <c r="F894" s="199"/>
      <c r="G894" s="199"/>
      <c r="H894" s="199"/>
      <c r="I894" s="199"/>
      <c r="J894" s="199"/>
      <c r="K894" s="199"/>
      <c r="L894" s="199"/>
      <c r="M894" s="199"/>
      <c r="N894" s="199"/>
    </row>
    <row r="895" spans="6:14">
      <c r="F895" s="199"/>
      <c r="G895" s="199"/>
      <c r="H895" s="199"/>
      <c r="I895" s="199"/>
      <c r="J895" s="199"/>
      <c r="K895" s="199"/>
      <c r="L895" s="199"/>
      <c r="M895" s="199"/>
      <c r="N895" s="199"/>
    </row>
    <row r="896" spans="6:14">
      <c r="F896" s="199"/>
      <c r="G896" s="199"/>
      <c r="H896" s="199"/>
      <c r="I896" s="199"/>
      <c r="J896" s="199"/>
      <c r="K896" s="199"/>
      <c r="L896" s="199"/>
      <c r="M896" s="199"/>
      <c r="N896" s="199"/>
    </row>
    <row r="897" spans="6:14">
      <c r="F897" s="199"/>
      <c r="G897" s="199"/>
      <c r="H897" s="199"/>
      <c r="I897" s="199"/>
      <c r="J897" s="199"/>
      <c r="K897" s="199"/>
      <c r="L897" s="199"/>
      <c r="M897" s="199"/>
      <c r="N897" s="199"/>
    </row>
    <row r="898" spans="6:14">
      <c r="F898" s="199"/>
      <c r="G898" s="199"/>
      <c r="H898" s="199"/>
      <c r="I898" s="199"/>
      <c r="J898" s="199"/>
      <c r="K898" s="199"/>
      <c r="L898" s="199"/>
      <c r="M898" s="199"/>
      <c r="N898" s="199"/>
    </row>
    <row r="899" spans="6:14">
      <c r="F899" s="199"/>
      <c r="G899" s="199"/>
      <c r="H899" s="199"/>
      <c r="I899" s="199"/>
      <c r="J899" s="199"/>
      <c r="K899" s="199"/>
      <c r="L899" s="199"/>
      <c r="M899" s="199"/>
      <c r="N899" s="199"/>
    </row>
    <row r="900" spans="6:14">
      <c r="F900" s="199"/>
      <c r="G900" s="199"/>
      <c r="H900" s="199"/>
      <c r="I900" s="199"/>
      <c r="J900" s="199"/>
      <c r="K900" s="199"/>
      <c r="L900" s="199"/>
      <c r="M900" s="199"/>
      <c r="N900" s="199"/>
    </row>
    <row r="901" spans="6:14">
      <c r="F901" s="199"/>
      <c r="G901" s="199"/>
      <c r="H901" s="199"/>
      <c r="I901" s="199"/>
      <c r="J901" s="199"/>
      <c r="K901" s="199"/>
      <c r="L901" s="199"/>
      <c r="M901" s="199"/>
      <c r="N901" s="199"/>
    </row>
    <row r="902" spans="6:14">
      <c r="F902" s="199"/>
      <c r="G902" s="199"/>
      <c r="H902" s="199"/>
      <c r="I902" s="199"/>
      <c r="J902" s="199"/>
      <c r="K902" s="199"/>
      <c r="L902" s="199"/>
      <c r="M902" s="199"/>
      <c r="N902" s="199"/>
    </row>
    <row r="903" spans="6:14">
      <c r="F903" s="199"/>
      <c r="G903" s="199"/>
      <c r="H903" s="199"/>
      <c r="I903" s="199"/>
      <c r="J903" s="199"/>
      <c r="K903" s="199"/>
      <c r="L903" s="199"/>
      <c r="M903" s="199"/>
      <c r="N903" s="199"/>
    </row>
    <row r="904" spans="6:14">
      <c r="F904" s="199"/>
      <c r="G904" s="199"/>
      <c r="H904" s="199"/>
      <c r="I904" s="199"/>
      <c r="J904" s="199"/>
      <c r="K904" s="199"/>
      <c r="L904" s="199"/>
      <c r="M904" s="199"/>
      <c r="N904" s="199"/>
    </row>
    <row r="905" spans="6:14">
      <c r="F905" s="199"/>
      <c r="G905" s="199"/>
      <c r="H905" s="199"/>
      <c r="I905" s="199"/>
      <c r="J905" s="199"/>
      <c r="K905" s="199"/>
      <c r="L905" s="199"/>
      <c r="M905" s="199"/>
      <c r="N905" s="199"/>
    </row>
    <row r="906" spans="6:14">
      <c r="F906" s="199"/>
      <c r="G906" s="199"/>
      <c r="H906" s="199"/>
      <c r="I906" s="199"/>
      <c r="J906" s="199"/>
      <c r="K906" s="199"/>
      <c r="L906" s="199"/>
      <c r="M906" s="199"/>
      <c r="N906" s="199"/>
    </row>
    <row r="907" spans="6:14">
      <c r="F907" s="199"/>
      <c r="G907" s="199"/>
      <c r="H907" s="199"/>
      <c r="I907" s="199"/>
      <c r="J907" s="199"/>
      <c r="K907" s="199"/>
      <c r="L907" s="199"/>
      <c r="M907" s="199"/>
      <c r="N907" s="199"/>
    </row>
    <row r="908" spans="6:14">
      <c r="F908" s="199"/>
      <c r="G908" s="199"/>
      <c r="H908" s="199"/>
      <c r="I908" s="199"/>
      <c r="J908" s="199"/>
      <c r="K908" s="199"/>
      <c r="L908" s="199"/>
      <c r="M908" s="199"/>
      <c r="N908" s="199"/>
    </row>
    <row r="909" spans="6:14">
      <c r="F909" s="199"/>
      <c r="G909" s="199"/>
      <c r="H909" s="199"/>
      <c r="I909" s="199"/>
      <c r="J909" s="199"/>
      <c r="K909" s="199"/>
      <c r="L909" s="199"/>
      <c r="M909" s="199"/>
      <c r="N909" s="199"/>
    </row>
    <row r="910" spans="6:14">
      <c r="F910" s="199"/>
      <c r="G910" s="199"/>
      <c r="H910" s="199"/>
      <c r="I910" s="199"/>
      <c r="J910" s="199"/>
      <c r="K910" s="199"/>
      <c r="L910" s="199"/>
      <c r="M910" s="199"/>
      <c r="N910" s="199"/>
    </row>
    <row r="911" spans="6:14">
      <c r="F911" s="199"/>
      <c r="G911" s="199"/>
      <c r="H911" s="199"/>
      <c r="I911" s="199"/>
      <c r="J911" s="199"/>
      <c r="K911" s="199"/>
      <c r="L911" s="199"/>
      <c r="M911" s="199"/>
      <c r="N911" s="199"/>
    </row>
    <row r="912" spans="6:14">
      <c r="F912" s="199"/>
      <c r="G912" s="199"/>
      <c r="H912" s="199"/>
      <c r="I912" s="199"/>
      <c r="J912" s="199"/>
      <c r="K912" s="199"/>
      <c r="L912" s="199"/>
      <c r="M912" s="199"/>
      <c r="N912" s="199"/>
    </row>
    <row r="913" spans="6:14">
      <c r="F913" s="199"/>
      <c r="G913" s="199"/>
      <c r="H913" s="199"/>
      <c r="I913" s="199"/>
      <c r="J913" s="199"/>
      <c r="K913" s="199"/>
      <c r="L913" s="199"/>
      <c r="M913" s="199"/>
      <c r="N913" s="199"/>
    </row>
    <row r="914" spans="6:14">
      <c r="F914" s="199"/>
      <c r="G914" s="199"/>
      <c r="H914" s="199"/>
      <c r="I914" s="199"/>
      <c r="J914" s="199"/>
      <c r="K914" s="199"/>
      <c r="L914" s="199"/>
      <c r="M914" s="199"/>
      <c r="N914" s="199"/>
    </row>
    <row r="915" spans="6:14">
      <c r="F915" s="199"/>
      <c r="G915" s="199"/>
      <c r="H915" s="199"/>
      <c r="I915" s="199"/>
      <c r="J915" s="199"/>
      <c r="K915" s="199"/>
      <c r="L915" s="199"/>
      <c r="M915" s="199"/>
      <c r="N915" s="199"/>
    </row>
    <row r="916" spans="6:14">
      <c r="F916" s="199"/>
      <c r="G916" s="199"/>
      <c r="H916" s="199"/>
      <c r="I916" s="199"/>
      <c r="J916" s="199"/>
      <c r="K916" s="199"/>
      <c r="L916" s="199"/>
      <c r="M916" s="199"/>
      <c r="N916" s="199"/>
    </row>
    <row r="917" spans="6:14">
      <c r="F917" s="199"/>
      <c r="G917" s="199"/>
      <c r="H917" s="199"/>
      <c r="I917" s="199"/>
      <c r="J917" s="199"/>
      <c r="K917" s="199"/>
      <c r="L917" s="199"/>
      <c r="M917" s="199"/>
      <c r="N917" s="199"/>
    </row>
    <row r="918" spans="6:14">
      <c r="F918" s="199"/>
      <c r="G918" s="199"/>
      <c r="H918" s="199"/>
      <c r="I918" s="199"/>
      <c r="J918" s="199"/>
      <c r="K918" s="199"/>
      <c r="L918" s="199"/>
      <c r="M918" s="199"/>
      <c r="N918" s="199"/>
    </row>
    <row r="919" spans="6:14">
      <c r="F919" s="199"/>
      <c r="G919" s="199"/>
      <c r="H919" s="199"/>
      <c r="I919" s="199"/>
      <c r="J919" s="199"/>
      <c r="K919" s="199"/>
      <c r="L919" s="199"/>
      <c r="M919" s="199"/>
      <c r="N919" s="199"/>
    </row>
    <row r="920" spans="6:14">
      <c r="F920" s="199"/>
      <c r="G920" s="199"/>
      <c r="H920" s="199"/>
      <c r="I920" s="199"/>
      <c r="J920" s="199"/>
      <c r="K920" s="199"/>
      <c r="L920" s="199"/>
      <c r="M920" s="199"/>
      <c r="N920" s="199"/>
    </row>
    <row r="921" spans="6:14">
      <c r="F921" s="199"/>
      <c r="G921" s="199"/>
      <c r="H921" s="199"/>
      <c r="I921" s="199"/>
      <c r="J921" s="199"/>
      <c r="K921" s="199"/>
      <c r="L921" s="199"/>
      <c r="M921" s="199"/>
      <c r="N921" s="199"/>
    </row>
    <row r="922" spans="6:14">
      <c r="F922" s="199"/>
      <c r="G922" s="199"/>
      <c r="H922" s="199"/>
      <c r="I922" s="199"/>
      <c r="J922" s="199"/>
      <c r="K922" s="199"/>
      <c r="L922" s="199"/>
      <c r="M922" s="199"/>
      <c r="N922" s="199"/>
    </row>
    <row r="923" spans="6:14">
      <c r="F923" s="199"/>
      <c r="G923" s="199"/>
      <c r="H923" s="199"/>
      <c r="I923" s="199"/>
      <c r="J923" s="199"/>
      <c r="K923" s="199"/>
      <c r="L923" s="199"/>
      <c r="M923" s="199"/>
      <c r="N923" s="199"/>
    </row>
    <row r="924" spans="6:14">
      <c r="F924" s="199"/>
      <c r="G924" s="199"/>
      <c r="H924" s="199"/>
      <c r="I924" s="199"/>
      <c r="J924" s="199"/>
      <c r="K924" s="199"/>
      <c r="L924" s="199"/>
      <c r="M924" s="199"/>
      <c r="N924" s="199"/>
    </row>
    <row r="925" spans="6:14">
      <c r="F925" s="199"/>
      <c r="G925" s="199"/>
      <c r="H925" s="199"/>
      <c r="I925" s="199"/>
      <c r="J925" s="199"/>
      <c r="K925" s="199"/>
      <c r="L925" s="199"/>
      <c r="M925" s="199"/>
      <c r="N925" s="199"/>
    </row>
    <row r="926" spans="6:14">
      <c r="F926" s="199"/>
      <c r="G926" s="199"/>
      <c r="H926" s="199"/>
      <c r="I926" s="199"/>
      <c r="J926" s="199"/>
      <c r="K926" s="199"/>
      <c r="L926" s="199"/>
      <c r="M926" s="199"/>
      <c r="N926" s="199"/>
    </row>
    <row r="927" spans="6:14">
      <c r="F927" s="199"/>
      <c r="G927" s="199"/>
      <c r="H927" s="199"/>
      <c r="I927" s="199"/>
      <c r="J927" s="199"/>
      <c r="K927" s="199"/>
      <c r="L927" s="199"/>
      <c r="M927" s="199"/>
      <c r="N927" s="199"/>
    </row>
    <row r="928" spans="6:14">
      <c r="F928" s="199"/>
      <c r="G928" s="199"/>
      <c r="H928" s="199"/>
      <c r="I928" s="199"/>
      <c r="J928" s="199"/>
      <c r="K928" s="199"/>
      <c r="L928" s="199"/>
      <c r="M928" s="199"/>
      <c r="N928" s="199"/>
    </row>
    <row r="929" spans="6:14">
      <c r="F929" s="199"/>
      <c r="G929" s="199"/>
      <c r="H929" s="199"/>
      <c r="I929" s="199"/>
      <c r="J929" s="199"/>
      <c r="K929" s="199"/>
      <c r="L929" s="199"/>
      <c r="M929" s="199"/>
      <c r="N929" s="199"/>
    </row>
    <row r="930" spans="6:14">
      <c r="F930" s="199"/>
      <c r="G930" s="199"/>
      <c r="H930" s="199"/>
      <c r="I930" s="199"/>
      <c r="J930" s="199"/>
      <c r="K930" s="199"/>
      <c r="L930" s="199"/>
      <c r="M930" s="199"/>
      <c r="N930" s="199"/>
    </row>
    <row r="931" spans="6:14">
      <c r="F931" s="199"/>
      <c r="G931" s="199"/>
      <c r="H931" s="199"/>
      <c r="I931" s="199"/>
      <c r="J931" s="199"/>
      <c r="K931" s="199"/>
      <c r="L931" s="199"/>
      <c r="M931" s="199"/>
      <c r="N931" s="199"/>
    </row>
    <row r="932" spans="6:14">
      <c r="F932" s="199"/>
      <c r="G932" s="199"/>
      <c r="H932" s="199"/>
      <c r="I932" s="199"/>
      <c r="J932" s="199"/>
      <c r="K932" s="199"/>
      <c r="L932" s="199"/>
      <c r="M932" s="199"/>
      <c r="N932" s="199"/>
    </row>
    <row r="933" spans="6:14">
      <c r="F933" s="199"/>
      <c r="G933" s="199"/>
      <c r="H933" s="199"/>
      <c r="I933" s="199"/>
      <c r="J933" s="199"/>
      <c r="K933" s="199"/>
      <c r="L933" s="199"/>
      <c r="M933" s="199"/>
      <c r="N933" s="199"/>
    </row>
    <row r="934" spans="6:14">
      <c r="F934" s="199"/>
      <c r="G934" s="199"/>
      <c r="H934" s="199"/>
      <c r="I934" s="199"/>
      <c r="J934" s="199"/>
      <c r="K934" s="199"/>
      <c r="L934" s="199"/>
      <c r="M934" s="199"/>
      <c r="N934" s="199"/>
    </row>
    <row r="935" spans="6:14">
      <c r="F935" s="199"/>
      <c r="G935" s="199"/>
      <c r="H935" s="199"/>
      <c r="I935" s="199"/>
      <c r="J935" s="199"/>
      <c r="K935" s="199"/>
      <c r="L935" s="199"/>
      <c r="M935" s="199"/>
      <c r="N935" s="199"/>
    </row>
    <row r="936" spans="6:14">
      <c r="F936" s="199"/>
      <c r="G936" s="199"/>
      <c r="H936" s="199"/>
      <c r="I936" s="199"/>
      <c r="J936" s="199"/>
      <c r="K936" s="199"/>
      <c r="L936" s="199"/>
      <c r="M936" s="199"/>
      <c r="N936" s="199"/>
    </row>
    <row r="937" spans="6:14">
      <c r="F937" s="199"/>
      <c r="G937" s="199"/>
      <c r="H937" s="199"/>
      <c r="I937" s="199"/>
      <c r="J937" s="199"/>
      <c r="K937" s="199"/>
      <c r="L937" s="199"/>
      <c r="M937" s="199"/>
      <c r="N937" s="199"/>
    </row>
    <row r="938" spans="6:14">
      <c r="F938" s="199"/>
      <c r="G938" s="199"/>
      <c r="H938" s="199"/>
      <c r="I938" s="199"/>
      <c r="J938" s="199"/>
      <c r="K938" s="199"/>
      <c r="L938" s="199"/>
      <c r="M938" s="199"/>
      <c r="N938" s="199"/>
    </row>
    <row r="939" spans="6:14">
      <c r="F939" s="199"/>
      <c r="G939" s="199"/>
      <c r="H939" s="199"/>
      <c r="I939" s="199"/>
      <c r="J939" s="199"/>
      <c r="K939" s="199"/>
      <c r="L939" s="199"/>
      <c r="M939" s="199"/>
      <c r="N939" s="199"/>
    </row>
    <row r="940" spans="6:14">
      <c r="F940" s="199"/>
      <c r="G940" s="199"/>
      <c r="H940" s="199"/>
      <c r="I940" s="199"/>
      <c r="J940" s="199"/>
      <c r="K940" s="199"/>
      <c r="L940" s="199"/>
      <c r="M940" s="199"/>
      <c r="N940" s="199"/>
    </row>
    <row r="941" spans="6:14">
      <c r="F941" s="199"/>
      <c r="G941" s="199"/>
      <c r="H941" s="199"/>
      <c r="I941" s="199"/>
      <c r="J941" s="199"/>
      <c r="K941" s="199"/>
      <c r="L941" s="199"/>
      <c r="M941" s="199"/>
      <c r="N941" s="199"/>
    </row>
    <row r="942" spans="6:14">
      <c r="F942" s="199"/>
      <c r="G942" s="199"/>
      <c r="H942" s="199"/>
      <c r="I942" s="199"/>
      <c r="J942" s="199"/>
      <c r="K942" s="199"/>
      <c r="L942" s="199"/>
      <c r="M942" s="199"/>
      <c r="N942" s="199"/>
    </row>
    <row r="943" spans="6:14">
      <c r="F943" s="199"/>
      <c r="G943" s="199"/>
      <c r="H943" s="199"/>
      <c r="I943" s="199"/>
      <c r="J943" s="199"/>
      <c r="K943" s="199"/>
      <c r="L943" s="199"/>
      <c r="M943" s="199"/>
      <c r="N943" s="199"/>
    </row>
    <row r="944" spans="6:14">
      <c r="F944" s="199"/>
      <c r="G944" s="199"/>
      <c r="H944" s="199"/>
      <c r="I944" s="199"/>
      <c r="J944" s="199"/>
      <c r="K944" s="199"/>
      <c r="L944" s="199"/>
      <c r="M944" s="199"/>
      <c r="N944" s="199"/>
    </row>
    <row r="945" spans="6:14">
      <c r="F945" s="199"/>
      <c r="G945" s="199"/>
      <c r="H945" s="199"/>
      <c r="I945" s="199"/>
      <c r="J945" s="199"/>
      <c r="K945" s="199"/>
      <c r="L945" s="199"/>
      <c r="M945" s="199"/>
      <c r="N945" s="199"/>
    </row>
    <row r="946" spans="6:14">
      <c r="F946" s="199"/>
      <c r="G946" s="199"/>
      <c r="H946" s="199"/>
      <c r="I946" s="199"/>
      <c r="J946" s="199"/>
      <c r="K946" s="199"/>
      <c r="L946" s="199"/>
      <c r="M946" s="199"/>
      <c r="N946" s="199"/>
    </row>
    <row r="947" spans="6:14">
      <c r="F947" s="199"/>
      <c r="G947" s="199"/>
      <c r="H947" s="199"/>
      <c r="I947" s="199"/>
      <c r="J947" s="199"/>
      <c r="K947" s="199"/>
      <c r="L947" s="199"/>
      <c r="M947" s="199"/>
      <c r="N947" s="199"/>
    </row>
    <row r="948" spans="6:14">
      <c r="F948" s="199"/>
      <c r="G948" s="199"/>
      <c r="H948" s="199"/>
      <c r="I948" s="199"/>
      <c r="J948" s="199"/>
      <c r="K948" s="199"/>
      <c r="L948" s="199"/>
      <c r="M948" s="199"/>
      <c r="N948" s="199"/>
    </row>
    <row r="949" spans="6:14">
      <c r="F949" s="199"/>
      <c r="G949" s="199"/>
      <c r="H949" s="199"/>
      <c r="I949" s="199"/>
      <c r="J949" s="199"/>
      <c r="K949" s="199"/>
      <c r="L949" s="199"/>
      <c r="M949" s="199"/>
      <c r="N949" s="199"/>
    </row>
    <row r="950" spans="6:14">
      <c r="F950" s="199"/>
      <c r="G950" s="199"/>
      <c r="H950" s="199"/>
      <c r="I950" s="199"/>
      <c r="J950" s="199"/>
      <c r="K950" s="199"/>
      <c r="L950" s="199"/>
      <c r="M950" s="199"/>
      <c r="N950" s="199"/>
    </row>
    <row r="951" spans="6:14">
      <c r="F951" s="199"/>
      <c r="G951" s="199"/>
      <c r="H951" s="199"/>
      <c r="I951" s="199"/>
      <c r="J951" s="199"/>
      <c r="K951" s="199"/>
      <c r="L951" s="199"/>
      <c r="M951" s="199"/>
      <c r="N951" s="199"/>
    </row>
    <row r="952" spans="6:14">
      <c r="F952" s="199"/>
      <c r="G952" s="199"/>
      <c r="H952" s="199"/>
      <c r="I952" s="199"/>
      <c r="J952" s="199"/>
      <c r="K952" s="199"/>
      <c r="L952" s="199"/>
      <c r="M952" s="199"/>
      <c r="N952" s="199"/>
    </row>
    <row r="953" spans="6:14">
      <c r="F953" s="199"/>
      <c r="G953" s="199"/>
      <c r="H953" s="199"/>
      <c r="I953" s="199"/>
      <c r="J953" s="199"/>
      <c r="K953" s="199"/>
      <c r="L953" s="199"/>
      <c r="M953" s="199"/>
      <c r="N953" s="199"/>
    </row>
    <row r="954" spans="6:14">
      <c r="F954" s="199"/>
      <c r="G954" s="199"/>
      <c r="H954" s="199"/>
      <c r="I954" s="199"/>
      <c r="J954" s="199"/>
      <c r="K954" s="199"/>
      <c r="L954" s="199"/>
      <c r="M954" s="199"/>
      <c r="N954" s="199"/>
    </row>
    <row r="955" spans="6:14">
      <c r="F955" s="199"/>
      <c r="G955" s="199"/>
      <c r="H955" s="199"/>
      <c r="I955" s="199"/>
      <c r="J955" s="199"/>
      <c r="K955" s="199"/>
      <c r="L955" s="199"/>
      <c r="M955" s="199"/>
      <c r="N955" s="199"/>
    </row>
    <row r="956" spans="6:14">
      <c r="F956" s="199"/>
      <c r="G956" s="199"/>
      <c r="H956" s="199"/>
      <c r="I956" s="199"/>
      <c r="J956" s="199"/>
      <c r="K956" s="199"/>
      <c r="L956" s="199"/>
      <c r="M956" s="199"/>
      <c r="N956" s="199"/>
    </row>
    <row r="957" spans="6:14">
      <c r="F957" s="199"/>
      <c r="G957" s="199"/>
      <c r="H957" s="199"/>
      <c r="I957" s="199"/>
      <c r="J957" s="199"/>
      <c r="K957" s="199"/>
      <c r="L957" s="199"/>
      <c r="M957" s="199"/>
      <c r="N957" s="199"/>
    </row>
    <row r="958" spans="6:14">
      <c r="F958" s="199"/>
      <c r="G958" s="199"/>
      <c r="H958" s="199"/>
      <c r="I958" s="199"/>
      <c r="J958" s="199"/>
      <c r="K958" s="199"/>
      <c r="L958" s="199"/>
      <c r="M958" s="199"/>
      <c r="N958" s="199"/>
    </row>
    <row r="959" spans="6:14">
      <c r="F959" s="199"/>
      <c r="G959" s="199"/>
      <c r="H959" s="199"/>
      <c r="I959" s="199"/>
      <c r="J959" s="199"/>
      <c r="K959" s="199"/>
      <c r="L959" s="199"/>
      <c r="M959" s="199"/>
      <c r="N959" s="199"/>
    </row>
    <row r="960" spans="6:14">
      <c r="F960" s="199"/>
      <c r="G960" s="199"/>
      <c r="H960" s="199"/>
      <c r="I960" s="199"/>
      <c r="J960" s="199"/>
      <c r="K960" s="199"/>
      <c r="L960" s="199"/>
      <c r="M960" s="199"/>
      <c r="N960" s="199"/>
    </row>
    <row r="961" spans="6:14">
      <c r="F961" s="199"/>
      <c r="G961" s="199"/>
      <c r="H961" s="199"/>
      <c r="I961" s="199"/>
      <c r="J961" s="199"/>
      <c r="K961" s="199"/>
      <c r="L961" s="199"/>
      <c r="M961" s="199"/>
      <c r="N961" s="199"/>
    </row>
    <row r="962" spans="6:14">
      <c r="F962" s="199"/>
      <c r="G962" s="199"/>
      <c r="H962" s="199"/>
      <c r="I962" s="199"/>
      <c r="J962" s="199"/>
      <c r="K962" s="199"/>
      <c r="L962" s="199"/>
      <c r="M962" s="199"/>
      <c r="N962" s="199"/>
    </row>
    <row r="963" spans="6:14">
      <c r="F963" s="199"/>
      <c r="G963" s="199"/>
      <c r="H963" s="199"/>
      <c r="I963" s="199"/>
      <c r="J963" s="199"/>
      <c r="K963" s="199"/>
      <c r="L963" s="199"/>
      <c r="M963" s="199"/>
      <c r="N963" s="199"/>
    </row>
    <row r="964" spans="6:14">
      <c r="F964" s="199"/>
      <c r="G964" s="199"/>
      <c r="H964" s="199"/>
      <c r="I964" s="199"/>
      <c r="J964" s="199"/>
      <c r="K964" s="199"/>
      <c r="L964" s="199"/>
      <c r="M964" s="199"/>
      <c r="N964" s="199"/>
    </row>
    <row r="965" spans="6:14">
      <c r="F965" s="199"/>
      <c r="G965" s="199"/>
      <c r="H965" s="199"/>
      <c r="I965" s="199"/>
      <c r="J965" s="199"/>
      <c r="K965" s="199"/>
      <c r="L965" s="199"/>
      <c r="M965" s="199"/>
      <c r="N965" s="199"/>
    </row>
    <row r="966" spans="6:14">
      <c r="F966" s="199"/>
      <c r="G966" s="199"/>
      <c r="H966" s="199"/>
      <c r="I966" s="199"/>
      <c r="J966" s="199"/>
      <c r="K966" s="199"/>
      <c r="L966" s="199"/>
      <c r="M966" s="199"/>
      <c r="N966" s="199"/>
    </row>
    <row r="967" spans="6:14">
      <c r="F967" s="199"/>
      <c r="G967" s="199"/>
      <c r="H967" s="199"/>
      <c r="I967" s="199"/>
      <c r="J967" s="199"/>
      <c r="K967" s="199"/>
      <c r="L967" s="199"/>
      <c r="M967" s="199"/>
      <c r="N967" s="199"/>
    </row>
    <row r="968" spans="6:14">
      <c r="F968" s="199"/>
      <c r="G968" s="199"/>
      <c r="H968" s="199"/>
      <c r="I968" s="199"/>
      <c r="J968" s="199"/>
      <c r="K968" s="199"/>
      <c r="L968" s="199"/>
      <c r="M968" s="199"/>
      <c r="N968" s="199"/>
    </row>
    <row r="969" spans="6:14">
      <c r="F969" s="199"/>
      <c r="G969" s="199"/>
      <c r="H969" s="199"/>
      <c r="I969" s="199"/>
      <c r="J969" s="199"/>
      <c r="K969" s="199"/>
      <c r="L969" s="199"/>
      <c r="M969" s="199"/>
      <c r="N969" s="199"/>
    </row>
    <row r="970" spans="6:14">
      <c r="F970" s="199"/>
      <c r="G970" s="199"/>
      <c r="H970" s="199"/>
      <c r="I970" s="199"/>
      <c r="J970" s="199"/>
      <c r="K970" s="199"/>
      <c r="L970" s="199"/>
      <c r="M970" s="199"/>
      <c r="N970" s="199"/>
    </row>
    <row r="971" spans="6:14">
      <c r="F971" s="199"/>
      <c r="G971" s="199"/>
      <c r="H971" s="199"/>
      <c r="I971" s="199"/>
      <c r="J971" s="199"/>
      <c r="K971" s="199"/>
      <c r="L971" s="199"/>
      <c r="M971" s="199"/>
      <c r="N971" s="199"/>
    </row>
    <row r="972" spans="6:14">
      <c r="F972" s="199"/>
      <c r="G972" s="199"/>
      <c r="H972" s="199"/>
      <c r="I972" s="199"/>
      <c r="J972" s="199"/>
      <c r="K972" s="199"/>
      <c r="L972" s="199"/>
      <c r="M972" s="199"/>
      <c r="N972" s="199"/>
    </row>
    <row r="973" spans="6:14">
      <c r="F973" s="199"/>
      <c r="G973" s="199"/>
      <c r="H973" s="199"/>
      <c r="I973" s="199"/>
      <c r="J973" s="199"/>
      <c r="K973" s="199"/>
      <c r="L973" s="199"/>
      <c r="M973" s="199"/>
      <c r="N973" s="199"/>
    </row>
    <row r="974" spans="6:14">
      <c r="F974" s="199"/>
      <c r="G974" s="199"/>
      <c r="H974" s="199"/>
      <c r="I974" s="199"/>
      <c r="J974" s="199"/>
      <c r="K974" s="199"/>
      <c r="L974" s="199"/>
      <c r="M974" s="199"/>
      <c r="N974" s="199"/>
    </row>
    <row r="975" spans="6:14">
      <c r="F975" s="199"/>
      <c r="G975" s="199"/>
      <c r="H975" s="199"/>
      <c r="I975" s="199"/>
      <c r="J975" s="199"/>
      <c r="K975" s="199"/>
      <c r="L975" s="199"/>
      <c r="M975" s="199"/>
      <c r="N975" s="199"/>
    </row>
    <row r="976" spans="6:14">
      <c r="F976" s="199"/>
      <c r="G976" s="199"/>
      <c r="H976" s="199"/>
      <c r="I976" s="199"/>
      <c r="J976" s="199"/>
      <c r="K976" s="199"/>
      <c r="L976" s="199"/>
      <c r="M976" s="199"/>
      <c r="N976" s="199"/>
    </row>
    <row r="977" spans="6:14">
      <c r="F977" s="199"/>
      <c r="G977" s="199"/>
      <c r="H977" s="199"/>
      <c r="I977" s="199"/>
      <c r="J977" s="199"/>
      <c r="K977" s="199"/>
      <c r="L977" s="199"/>
      <c r="M977" s="199"/>
      <c r="N977" s="199"/>
    </row>
    <row r="978" spans="6:14">
      <c r="F978" s="199"/>
      <c r="G978" s="199"/>
      <c r="H978" s="199"/>
      <c r="I978" s="199"/>
      <c r="J978" s="199"/>
      <c r="K978" s="199"/>
      <c r="L978" s="199"/>
      <c r="M978" s="199"/>
      <c r="N978" s="199"/>
    </row>
    <row r="979" spans="6:14">
      <c r="F979" s="199"/>
      <c r="G979" s="199"/>
      <c r="H979" s="199"/>
      <c r="I979" s="199"/>
      <c r="J979" s="199"/>
      <c r="K979" s="199"/>
      <c r="L979" s="199"/>
      <c r="M979" s="199"/>
      <c r="N979" s="199"/>
    </row>
    <row r="980" spans="6:14">
      <c r="F980" s="199"/>
      <c r="G980" s="199"/>
      <c r="H980" s="199"/>
      <c r="I980" s="199"/>
      <c r="J980" s="199"/>
      <c r="K980" s="199"/>
      <c r="L980" s="199"/>
      <c r="M980" s="199"/>
      <c r="N980" s="199"/>
    </row>
    <row r="981" spans="6:14">
      <c r="F981" s="199"/>
      <c r="G981" s="199"/>
      <c r="H981" s="199"/>
      <c r="I981" s="199"/>
      <c r="J981" s="199"/>
      <c r="K981" s="199"/>
      <c r="L981" s="199"/>
      <c r="M981" s="199"/>
      <c r="N981" s="199"/>
    </row>
    <row r="982" spans="6:14">
      <c r="F982" s="199"/>
      <c r="G982" s="199"/>
      <c r="H982" s="199"/>
      <c r="I982" s="199"/>
      <c r="J982" s="199"/>
      <c r="K982" s="199"/>
      <c r="L982" s="199"/>
      <c r="M982" s="199"/>
      <c r="N982" s="199"/>
    </row>
    <row r="983" spans="6:14">
      <c r="F983" s="199"/>
      <c r="G983" s="199"/>
      <c r="H983" s="199"/>
      <c r="I983" s="199"/>
      <c r="J983" s="199"/>
      <c r="K983" s="199"/>
      <c r="L983" s="199"/>
      <c r="M983" s="199"/>
      <c r="N983" s="199"/>
    </row>
    <row r="984" spans="6:14">
      <c r="F984" s="199"/>
      <c r="G984" s="199"/>
      <c r="H984" s="199"/>
      <c r="I984" s="199"/>
      <c r="J984" s="199"/>
      <c r="K984" s="199"/>
      <c r="L984" s="199"/>
      <c r="M984" s="199"/>
      <c r="N984" s="199"/>
    </row>
    <row r="985" spans="6:14">
      <c r="F985" s="199"/>
      <c r="G985" s="199"/>
      <c r="H985" s="199"/>
      <c r="I985" s="199"/>
      <c r="J985" s="199"/>
      <c r="K985" s="199"/>
      <c r="L985" s="199"/>
      <c r="M985" s="199"/>
      <c r="N985" s="199"/>
    </row>
    <row r="986" spans="6:14">
      <c r="F986" s="199"/>
      <c r="G986" s="199"/>
      <c r="H986" s="199"/>
      <c r="I986" s="199"/>
      <c r="J986" s="199"/>
      <c r="K986" s="199"/>
      <c r="L986" s="199"/>
      <c r="M986" s="199"/>
      <c r="N986" s="199"/>
    </row>
    <row r="987" spans="6:14">
      <c r="F987" s="199"/>
      <c r="G987" s="199"/>
      <c r="H987" s="199"/>
      <c r="I987" s="199"/>
      <c r="J987" s="199"/>
      <c r="K987" s="199"/>
      <c r="L987" s="199"/>
      <c r="M987" s="199"/>
      <c r="N987" s="199"/>
    </row>
    <row r="988" spans="6:14">
      <c r="F988" s="199"/>
      <c r="G988" s="199"/>
      <c r="H988" s="199"/>
      <c r="I988" s="199"/>
      <c r="J988" s="199"/>
      <c r="K988" s="199"/>
      <c r="L988" s="199"/>
      <c r="M988" s="199"/>
      <c r="N988" s="199"/>
    </row>
    <row r="989" spans="6:14">
      <c r="F989" s="199"/>
      <c r="G989" s="199"/>
      <c r="H989" s="199"/>
      <c r="I989" s="199"/>
      <c r="J989" s="199"/>
      <c r="K989" s="199"/>
      <c r="L989" s="199"/>
      <c r="M989" s="199"/>
      <c r="N989" s="199"/>
    </row>
    <row r="990" spans="6:14">
      <c r="F990" s="199"/>
      <c r="G990" s="199"/>
      <c r="H990" s="199"/>
      <c r="I990" s="199"/>
      <c r="J990" s="199"/>
      <c r="K990" s="199"/>
      <c r="L990" s="199"/>
      <c r="M990" s="199"/>
      <c r="N990" s="199"/>
    </row>
    <row r="991" spans="6:14">
      <c r="F991" s="199"/>
      <c r="G991" s="199"/>
      <c r="H991" s="199"/>
      <c r="I991" s="199"/>
      <c r="J991" s="199"/>
      <c r="K991" s="199"/>
      <c r="L991" s="199"/>
      <c r="M991" s="199"/>
      <c r="N991" s="199"/>
    </row>
    <row r="992" spans="6:14">
      <c r="F992" s="199"/>
      <c r="G992" s="199"/>
      <c r="H992" s="199"/>
      <c r="I992" s="199"/>
      <c r="J992" s="199"/>
      <c r="K992" s="199"/>
      <c r="L992" s="199"/>
      <c r="M992" s="199"/>
      <c r="N992" s="199"/>
    </row>
    <row r="993" spans="6:14">
      <c r="F993" s="199"/>
      <c r="G993" s="199"/>
      <c r="H993" s="199"/>
      <c r="I993" s="199"/>
      <c r="J993" s="199"/>
      <c r="K993" s="199"/>
      <c r="L993" s="199"/>
      <c r="M993" s="199"/>
      <c r="N993" s="199"/>
    </row>
    <row r="994" spans="6:14">
      <c r="F994" s="199"/>
      <c r="G994" s="199"/>
      <c r="H994" s="199"/>
      <c r="I994" s="199"/>
      <c r="J994" s="199"/>
      <c r="K994" s="199"/>
      <c r="L994" s="199"/>
      <c r="M994" s="199"/>
      <c r="N994" s="199"/>
    </row>
    <row r="995" spans="6:14">
      <c r="F995" s="199"/>
      <c r="G995" s="199"/>
      <c r="H995" s="199"/>
      <c r="I995" s="199"/>
      <c r="J995" s="199"/>
      <c r="K995" s="199"/>
      <c r="L995" s="199"/>
      <c r="M995" s="199"/>
      <c r="N995" s="199"/>
    </row>
    <row r="996" spans="6:14">
      <c r="F996" s="199"/>
      <c r="G996" s="199"/>
      <c r="H996" s="199"/>
      <c r="I996" s="199"/>
      <c r="J996" s="199"/>
      <c r="K996" s="199"/>
      <c r="L996" s="199"/>
      <c r="M996" s="199"/>
      <c r="N996" s="199"/>
    </row>
    <row r="997" spans="6:14">
      <c r="F997" s="199"/>
      <c r="G997" s="199"/>
      <c r="H997" s="199"/>
      <c r="I997" s="199"/>
      <c r="J997" s="199"/>
      <c r="K997" s="199"/>
      <c r="L997" s="199"/>
      <c r="M997" s="199"/>
      <c r="N997" s="199"/>
    </row>
    <row r="998" spans="6:14">
      <c r="F998" s="199"/>
      <c r="G998" s="199"/>
      <c r="H998" s="199"/>
      <c r="I998" s="199"/>
      <c r="J998" s="199"/>
      <c r="K998" s="199"/>
      <c r="L998" s="199"/>
      <c r="M998" s="199"/>
      <c r="N998" s="199"/>
    </row>
    <row r="999" spans="6:14">
      <c r="F999" s="199"/>
      <c r="G999" s="199"/>
      <c r="H999" s="199"/>
      <c r="I999" s="199"/>
      <c r="J999" s="199"/>
      <c r="K999" s="199"/>
      <c r="L999" s="199"/>
      <c r="M999" s="199"/>
      <c r="N999" s="199"/>
    </row>
    <row r="1000" spans="6:14">
      <c r="F1000" s="199"/>
      <c r="G1000" s="199"/>
      <c r="H1000" s="199"/>
      <c r="I1000" s="199"/>
      <c r="J1000" s="199"/>
      <c r="K1000" s="199"/>
      <c r="L1000" s="199"/>
      <c r="M1000" s="199"/>
      <c r="N1000" s="199"/>
    </row>
    <row r="1001" spans="6:14">
      <c r="F1001" s="199"/>
      <c r="G1001" s="199"/>
      <c r="H1001" s="199"/>
      <c r="I1001" s="199"/>
      <c r="J1001" s="199"/>
      <c r="K1001" s="199"/>
      <c r="L1001" s="199"/>
      <c r="M1001" s="199"/>
      <c r="N1001" s="199"/>
    </row>
    <row r="1002" spans="6:14">
      <c r="F1002" s="199"/>
      <c r="G1002" s="199"/>
      <c r="H1002" s="199"/>
      <c r="I1002" s="199"/>
      <c r="J1002" s="199"/>
      <c r="K1002" s="199"/>
      <c r="L1002" s="199"/>
      <c r="M1002" s="199"/>
      <c r="N1002" s="199"/>
    </row>
    <row r="1003" spans="6:14">
      <c r="F1003" s="199"/>
      <c r="G1003" s="199"/>
      <c r="H1003" s="199"/>
      <c r="I1003" s="199"/>
      <c r="J1003" s="199"/>
      <c r="K1003" s="199"/>
      <c r="L1003" s="199"/>
      <c r="M1003" s="199"/>
      <c r="N1003" s="199"/>
    </row>
    <row r="1004" spans="6:14">
      <c r="F1004" s="199"/>
      <c r="G1004" s="199"/>
      <c r="H1004" s="199"/>
      <c r="I1004" s="199"/>
      <c r="J1004" s="199"/>
      <c r="K1004" s="199"/>
      <c r="L1004" s="199"/>
      <c r="M1004" s="199"/>
      <c r="N1004" s="199"/>
    </row>
    <row r="1005" spans="6:14">
      <c r="F1005" s="199"/>
      <c r="G1005" s="199"/>
      <c r="H1005" s="199"/>
      <c r="I1005" s="199"/>
      <c r="J1005" s="199"/>
      <c r="K1005" s="199"/>
      <c r="L1005" s="199"/>
      <c r="M1005" s="199"/>
      <c r="N1005" s="199"/>
    </row>
    <row r="1006" spans="6:14">
      <c r="F1006" s="199"/>
      <c r="G1006" s="199"/>
      <c r="H1006" s="199"/>
      <c r="I1006" s="199"/>
      <c r="J1006" s="199"/>
      <c r="K1006" s="199"/>
      <c r="L1006" s="199"/>
      <c r="M1006" s="199"/>
      <c r="N1006" s="199"/>
    </row>
    <row r="1007" spans="6:14">
      <c r="F1007" s="199"/>
      <c r="G1007" s="199"/>
      <c r="H1007" s="199"/>
      <c r="I1007" s="199"/>
      <c r="J1007" s="199"/>
      <c r="K1007" s="199"/>
      <c r="L1007" s="199"/>
      <c r="M1007" s="199"/>
      <c r="N1007" s="199"/>
    </row>
    <row r="1008" spans="6:14">
      <c r="F1008" s="199"/>
      <c r="G1008" s="199"/>
      <c r="H1008" s="199"/>
      <c r="I1008" s="199"/>
      <c r="J1008" s="199"/>
      <c r="K1008" s="199"/>
      <c r="L1008" s="199"/>
      <c r="M1008" s="199"/>
      <c r="N1008" s="199"/>
    </row>
    <row r="1009" spans="6:14">
      <c r="F1009" s="199"/>
      <c r="G1009" s="199"/>
      <c r="H1009" s="199"/>
      <c r="I1009" s="199"/>
      <c r="J1009" s="199"/>
      <c r="K1009" s="199"/>
      <c r="L1009" s="199"/>
      <c r="M1009" s="199"/>
      <c r="N1009" s="199"/>
    </row>
    <row r="1010" spans="6:14">
      <c r="F1010" s="199"/>
      <c r="G1010" s="199"/>
      <c r="H1010" s="199"/>
      <c r="I1010" s="199"/>
      <c r="J1010" s="199"/>
      <c r="K1010" s="199"/>
      <c r="L1010" s="199"/>
      <c r="M1010" s="199"/>
      <c r="N1010" s="199"/>
    </row>
    <row r="1011" spans="6:14">
      <c r="F1011" s="199"/>
      <c r="G1011" s="199"/>
      <c r="H1011" s="199"/>
      <c r="I1011" s="199"/>
      <c r="J1011" s="199"/>
      <c r="K1011" s="199"/>
      <c r="L1011" s="199"/>
      <c r="M1011" s="199"/>
      <c r="N1011" s="199"/>
    </row>
    <row r="1012" spans="6:14">
      <c r="F1012" s="199"/>
      <c r="G1012" s="199"/>
      <c r="H1012" s="199"/>
      <c r="I1012" s="199"/>
      <c r="J1012" s="199"/>
      <c r="K1012" s="199"/>
      <c r="L1012" s="199"/>
      <c r="M1012" s="199"/>
      <c r="N1012" s="199"/>
    </row>
    <row r="1013" spans="6:14">
      <c r="F1013" s="199"/>
      <c r="G1013" s="199"/>
      <c r="H1013" s="199"/>
      <c r="I1013" s="199"/>
      <c r="J1013" s="199"/>
      <c r="K1013" s="199"/>
      <c r="L1013" s="199"/>
      <c r="M1013" s="199"/>
      <c r="N1013" s="199"/>
    </row>
    <row r="1014" spans="6:14">
      <c r="F1014" s="199"/>
      <c r="G1014" s="199"/>
      <c r="H1014" s="199"/>
      <c r="I1014" s="199"/>
      <c r="J1014" s="199"/>
      <c r="K1014" s="199"/>
      <c r="L1014" s="199"/>
      <c r="M1014" s="199"/>
      <c r="N1014" s="199"/>
    </row>
    <row r="1015" spans="6:14">
      <c r="F1015" s="199"/>
      <c r="G1015" s="199"/>
      <c r="H1015" s="199"/>
      <c r="I1015" s="199"/>
      <c r="J1015" s="199"/>
      <c r="K1015" s="199"/>
      <c r="L1015" s="199"/>
      <c r="M1015" s="199"/>
      <c r="N1015" s="199"/>
    </row>
    <row r="1016" spans="6:14">
      <c r="F1016" s="199"/>
      <c r="G1016" s="199"/>
      <c r="H1016" s="199"/>
      <c r="I1016" s="199"/>
      <c r="J1016" s="199"/>
      <c r="K1016" s="199"/>
      <c r="L1016" s="199"/>
      <c r="M1016" s="199"/>
      <c r="N1016" s="199"/>
    </row>
    <row r="1017" spans="6:14">
      <c r="F1017" s="199"/>
      <c r="G1017" s="199"/>
      <c r="H1017" s="199"/>
      <c r="I1017" s="199"/>
      <c r="J1017" s="199"/>
      <c r="K1017" s="199"/>
      <c r="L1017" s="199"/>
      <c r="M1017" s="199"/>
      <c r="N1017" s="199"/>
    </row>
    <row r="1018" spans="6:14">
      <c r="F1018" s="199"/>
      <c r="G1018" s="199"/>
      <c r="H1018" s="199"/>
      <c r="I1018" s="199"/>
      <c r="J1018" s="199"/>
      <c r="K1018" s="199"/>
      <c r="L1018" s="199"/>
      <c r="M1018" s="199"/>
      <c r="N1018" s="199"/>
    </row>
    <row r="1019" spans="6:14">
      <c r="F1019" s="199"/>
      <c r="G1019" s="199"/>
      <c r="H1019" s="199"/>
      <c r="I1019" s="199"/>
      <c r="J1019" s="199"/>
      <c r="K1019" s="199"/>
      <c r="L1019" s="199"/>
      <c r="M1019" s="199"/>
      <c r="N1019" s="199"/>
    </row>
    <row r="1020" spans="6:14">
      <c r="F1020" s="199"/>
      <c r="G1020" s="199"/>
      <c r="H1020" s="199"/>
      <c r="I1020" s="199"/>
      <c r="J1020" s="199"/>
      <c r="K1020" s="199"/>
      <c r="L1020" s="199"/>
      <c r="M1020" s="199"/>
      <c r="N1020" s="199"/>
    </row>
    <row r="1021" spans="6:14">
      <c r="F1021" s="199"/>
      <c r="G1021" s="199"/>
      <c r="H1021" s="199"/>
      <c r="I1021" s="199"/>
      <c r="J1021" s="199"/>
      <c r="K1021" s="199"/>
      <c r="L1021" s="199"/>
      <c r="M1021" s="199"/>
      <c r="N1021" s="199"/>
    </row>
    <row r="1022" spans="6:14">
      <c r="F1022" s="199"/>
      <c r="G1022" s="199"/>
      <c r="H1022" s="199"/>
      <c r="I1022" s="199"/>
      <c r="J1022" s="199"/>
      <c r="K1022" s="199"/>
      <c r="L1022" s="199"/>
      <c r="M1022" s="199"/>
      <c r="N1022" s="199"/>
    </row>
    <row r="1023" spans="6:14">
      <c r="F1023" s="199"/>
      <c r="G1023" s="199"/>
      <c r="H1023" s="199"/>
      <c r="I1023" s="199"/>
      <c r="J1023" s="199"/>
      <c r="K1023" s="199"/>
      <c r="L1023" s="199"/>
      <c r="M1023" s="199"/>
      <c r="N1023" s="199"/>
    </row>
    <row r="1024" spans="6:14">
      <c r="F1024" s="199"/>
      <c r="G1024" s="199"/>
      <c r="H1024" s="199"/>
      <c r="I1024" s="199"/>
      <c r="J1024" s="199"/>
      <c r="K1024" s="199"/>
      <c r="L1024" s="199"/>
      <c r="M1024" s="199"/>
      <c r="N1024" s="199"/>
    </row>
    <row r="1025" spans="6:14">
      <c r="F1025" s="199"/>
      <c r="G1025" s="199"/>
      <c r="H1025" s="199"/>
      <c r="I1025" s="199"/>
      <c r="J1025" s="199"/>
      <c r="K1025" s="199"/>
      <c r="L1025" s="199"/>
      <c r="M1025" s="199"/>
      <c r="N1025" s="199"/>
    </row>
    <row r="1026" spans="6:14">
      <c r="F1026" s="199"/>
      <c r="G1026" s="199"/>
      <c r="H1026" s="199"/>
      <c r="I1026" s="199"/>
      <c r="J1026" s="199"/>
      <c r="K1026" s="199"/>
      <c r="L1026" s="199"/>
      <c r="M1026" s="199"/>
      <c r="N1026" s="199"/>
    </row>
    <row r="1027" spans="6:14">
      <c r="F1027" s="199"/>
      <c r="G1027" s="199"/>
      <c r="H1027" s="199"/>
      <c r="I1027" s="199"/>
      <c r="J1027" s="199"/>
      <c r="K1027" s="199"/>
      <c r="L1027" s="199"/>
      <c r="M1027" s="199"/>
      <c r="N1027" s="199"/>
    </row>
    <row r="1028" spans="6:14">
      <c r="F1028" s="199"/>
      <c r="G1028" s="199"/>
      <c r="H1028" s="199"/>
      <c r="I1028" s="199"/>
      <c r="J1028" s="199"/>
      <c r="K1028" s="199"/>
      <c r="L1028" s="199"/>
      <c r="M1028" s="199"/>
      <c r="N1028" s="199"/>
    </row>
    <row r="1029" spans="6:14">
      <c r="F1029" s="199"/>
      <c r="G1029" s="199"/>
      <c r="H1029" s="199"/>
      <c r="I1029" s="199"/>
      <c r="J1029" s="199"/>
      <c r="K1029" s="199"/>
      <c r="L1029" s="199"/>
      <c r="M1029" s="199"/>
      <c r="N1029" s="199"/>
    </row>
    <row r="1030" spans="6:14">
      <c r="F1030" s="199"/>
      <c r="G1030" s="199"/>
      <c r="H1030" s="199"/>
      <c r="I1030" s="199"/>
      <c r="J1030" s="199"/>
      <c r="K1030" s="199"/>
      <c r="L1030" s="199"/>
      <c r="M1030" s="199"/>
      <c r="N1030" s="199"/>
    </row>
    <row r="1031" spans="6:14">
      <c r="F1031" s="199"/>
      <c r="G1031" s="199"/>
      <c r="H1031" s="199"/>
      <c r="I1031" s="199"/>
      <c r="J1031" s="199"/>
      <c r="K1031" s="199"/>
      <c r="L1031" s="199"/>
      <c r="M1031" s="199"/>
      <c r="N1031" s="199"/>
    </row>
    <row r="1032" spans="6:14">
      <c r="F1032" s="199"/>
      <c r="G1032" s="199"/>
      <c r="H1032" s="199"/>
      <c r="I1032" s="199"/>
      <c r="J1032" s="199"/>
      <c r="K1032" s="199"/>
      <c r="L1032" s="199"/>
      <c r="M1032" s="199"/>
      <c r="N1032" s="199"/>
    </row>
    <row r="1033" spans="6:14">
      <c r="F1033" s="199"/>
      <c r="G1033" s="199"/>
      <c r="H1033" s="199"/>
      <c r="I1033" s="199"/>
      <c r="J1033" s="199"/>
      <c r="K1033" s="199"/>
      <c r="L1033" s="199"/>
      <c r="M1033" s="199"/>
      <c r="N1033" s="199"/>
    </row>
    <row r="1034" spans="6:14">
      <c r="F1034" s="199"/>
      <c r="G1034" s="199"/>
      <c r="H1034" s="199"/>
      <c r="I1034" s="199"/>
      <c r="J1034" s="199"/>
      <c r="K1034" s="199"/>
      <c r="L1034" s="199"/>
      <c r="M1034" s="199"/>
      <c r="N1034" s="199"/>
    </row>
    <row r="1035" spans="6:14">
      <c r="F1035" s="199"/>
      <c r="G1035" s="199"/>
      <c r="H1035" s="199"/>
      <c r="I1035" s="199"/>
      <c r="J1035" s="199"/>
      <c r="K1035" s="199"/>
      <c r="L1035" s="199"/>
      <c r="M1035" s="199"/>
      <c r="N1035" s="199"/>
    </row>
    <row r="1036" customHeight="1" spans="6:14">
      <c r="F1036" s="199"/>
      <c r="G1036" s="199"/>
      <c r="H1036" s="199"/>
      <c r="I1036" s="199"/>
      <c r="J1036" s="199"/>
      <c r="K1036" s="199"/>
      <c r="L1036" s="199"/>
      <c r="M1036" s="199"/>
      <c r="N1036" s="199"/>
    </row>
  </sheetData>
  <sheetProtection algorithmName="SHA-512" hashValue="k0tPtm5qtck7486CV36VoVC9QBlv6H+uuYQLQfFT0WWUfhrx6MAFRETosubsier2sHuz70YN5qQLsC38/ZHiAA==" saltValue="n7RbRdNSCJZbl2d82hcRzA==" spinCount="100000" sheet="1" objects="1"/>
  <protectedRanges>
    <protectedRange sqref="C4:C6 B1:B2 C9 C11" name="区域1"/>
  </protectedRanges>
  <mergeCells count="10">
    <mergeCell ref="H1:I1"/>
    <mergeCell ref="B3:C3"/>
    <mergeCell ref="A8:B8"/>
    <mergeCell ref="A12:B12"/>
    <mergeCell ref="C12:E12"/>
    <mergeCell ref="A13:B13"/>
    <mergeCell ref="C13:E13"/>
    <mergeCell ref="A14:B14"/>
    <mergeCell ref="C14:E14"/>
    <mergeCell ref="H37:M37"/>
  </mergeCells>
  <dataValidations count="2">
    <dataValidation type="list" allowBlank="1" showErrorMessage="1" sqref="B1">
      <formula1>$I$26:$I$32</formula1>
    </dataValidation>
    <dataValidation type="list" allowBlank="1" showErrorMessage="1" sqref="B2">
      <formula1>$F$39:$F$85</formula1>
    </dataValidation>
  </dataValidations>
  <hyperlinks>
    <hyperlink ref="J25" r:id="rId1" display="FX- 2025/1/1"/>
  </hyperlink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45"/>
  <sheetViews>
    <sheetView workbookViewId="0">
      <selection activeCell="A1" sqref="A1"/>
    </sheetView>
  </sheetViews>
  <sheetFormatPr defaultColWidth="12.6636363636364" defaultRowHeight="15.75" customHeight="1" outlineLevelCol="4"/>
  <cols>
    <col min="2" max="2" width="29.7818181818182" customWidth="1"/>
  </cols>
  <sheetData>
    <row r="1" customHeight="1" spans="5:5">
      <c r="E1" s="63" t="s">
        <v>432</v>
      </c>
    </row>
    <row r="2" ht="14" spans="1:3">
      <c r="A2" s="127" t="s">
        <v>433</v>
      </c>
      <c r="B2" s="127" t="s">
        <v>434</v>
      </c>
      <c r="C2" s="127" t="s">
        <v>435</v>
      </c>
    </row>
    <row r="3" ht="14" spans="1:3">
      <c r="A3" s="128" t="s">
        <v>436</v>
      </c>
      <c r="B3" s="129">
        <v>350.27</v>
      </c>
      <c r="C3" s="130">
        <v>0.0132</v>
      </c>
    </row>
    <row r="4" ht="14" spans="1:3">
      <c r="A4" s="128" t="s">
        <v>437</v>
      </c>
      <c r="B4" s="129">
        <v>462.2</v>
      </c>
      <c r="C4" s="130">
        <v>0.0272</v>
      </c>
    </row>
    <row r="5" ht="14" spans="1:3">
      <c r="A5" s="128" t="s">
        <v>438</v>
      </c>
      <c r="B5" s="129">
        <v>26.78</v>
      </c>
      <c r="C5" s="130">
        <v>0.0261</v>
      </c>
    </row>
    <row r="6" ht="14" spans="1:3">
      <c r="A6" s="128" t="s">
        <v>439</v>
      </c>
      <c r="B6" s="129">
        <v>37.66</v>
      </c>
      <c r="C6" s="130">
        <v>0.0183</v>
      </c>
    </row>
    <row r="7" ht="14" spans="1:3">
      <c r="A7" s="128" t="s">
        <v>440</v>
      </c>
      <c r="B7" s="129">
        <v>247.51</v>
      </c>
      <c r="C7" s="130">
        <v>0.0301</v>
      </c>
    </row>
    <row r="8" ht="14" spans="1:3">
      <c r="A8" s="128" t="s">
        <v>441</v>
      </c>
      <c r="B8" s="129">
        <v>193.07</v>
      </c>
      <c r="C8" s="130">
        <v>0.0661</v>
      </c>
    </row>
    <row r="9" ht="14" spans="1:3">
      <c r="A9" s="128" t="s">
        <v>122</v>
      </c>
      <c r="B9" s="129">
        <v>31.94</v>
      </c>
      <c r="C9" s="130">
        <v>0.0093</v>
      </c>
    </row>
    <row r="10" ht="14" spans="1:3">
      <c r="A10" s="128" t="s">
        <v>442</v>
      </c>
      <c r="B10" s="129">
        <v>17.87</v>
      </c>
      <c r="C10" s="130">
        <v>0.0199</v>
      </c>
    </row>
    <row r="11" ht="14" spans="1:3">
      <c r="A11" s="128" t="s">
        <v>443</v>
      </c>
      <c r="B11" s="129">
        <v>7.54</v>
      </c>
      <c r="C11" s="130">
        <v>0.0299</v>
      </c>
    </row>
    <row r="12" ht="14" spans="1:3">
      <c r="A12" s="128" t="s">
        <v>444</v>
      </c>
      <c r="B12" s="129">
        <v>14.35</v>
      </c>
      <c r="C12" s="130">
        <v>0.0196</v>
      </c>
    </row>
    <row r="13" ht="14" spans="1:3">
      <c r="A13" s="128" t="s">
        <v>445</v>
      </c>
      <c r="B13" s="129">
        <v>83.59</v>
      </c>
      <c r="C13" s="130">
        <v>0.0502</v>
      </c>
    </row>
    <row r="14" ht="14" spans="1:3">
      <c r="A14" s="128" t="s">
        <v>446</v>
      </c>
      <c r="B14" s="129">
        <v>66.49</v>
      </c>
      <c r="C14" s="130">
        <v>0.025</v>
      </c>
    </row>
    <row r="15" ht="14" spans="1:3">
      <c r="A15" s="128" t="s">
        <v>447</v>
      </c>
      <c r="B15" s="129">
        <v>26.82</v>
      </c>
      <c r="C15" s="130">
        <v>0.0302</v>
      </c>
    </row>
    <row r="16" ht="14" spans="1:3">
      <c r="A16" s="128" t="s">
        <v>448</v>
      </c>
      <c r="B16" s="129">
        <v>341.37</v>
      </c>
      <c r="C16" s="130">
        <v>0.0412</v>
      </c>
    </row>
    <row r="17" ht="14" spans="1:3">
      <c r="A17" s="128" t="s">
        <v>449</v>
      </c>
      <c r="B17" s="129">
        <v>513.44</v>
      </c>
      <c r="C17" s="130">
        <v>0.0567</v>
      </c>
    </row>
    <row r="18" ht="14" spans="1:3">
      <c r="A18" s="128" t="s">
        <v>450</v>
      </c>
      <c r="B18" s="129">
        <v>48.55</v>
      </c>
      <c r="C18" s="130">
        <v>0.0499</v>
      </c>
    </row>
    <row r="19" ht="14" spans="1:3">
      <c r="A19" s="128" t="s">
        <v>451</v>
      </c>
      <c r="B19" s="129">
        <v>213.55</v>
      </c>
      <c r="C19" s="130">
        <v>0.0653</v>
      </c>
    </row>
    <row r="20" ht="14" spans="1:3">
      <c r="A20" s="128" t="s">
        <v>452</v>
      </c>
      <c r="B20" s="129">
        <v>220.34</v>
      </c>
      <c r="C20" s="130">
        <v>0.0417</v>
      </c>
    </row>
    <row r="21" ht="14" spans="1:3">
      <c r="A21" s="128" t="s">
        <v>453</v>
      </c>
      <c r="B21" s="129">
        <v>7.96</v>
      </c>
      <c r="C21" s="130">
        <v>0.0292</v>
      </c>
    </row>
    <row r="22" ht="14" spans="1:3">
      <c r="A22" s="128" t="s">
        <v>454</v>
      </c>
      <c r="B22" s="129">
        <v>48.28</v>
      </c>
      <c r="C22" s="130">
        <v>0.0268</v>
      </c>
    </row>
    <row r="23" ht="14" spans="1:3">
      <c r="A23" s="128" t="s">
        <v>455</v>
      </c>
      <c r="B23" s="129">
        <v>57.49</v>
      </c>
      <c r="C23" s="130">
        <v>0.0479</v>
      </c>
    </row>
    <row r="24" ht="14" spans="1:3">
      <c r="A24" s="128" t="s">
        <v>456</v>
      </c>
      <c r="B24" s="129">
        <v>17.9</v>
      </c>
      <c r="C24" s="130">
        <v>0.017</v>
      </c>
    </row>
    <row r="25" ht="14" spans="1:3">
      <c r="A25" s="128" t="s">
        <v>457</v>
      </c>
      <c r="B25" s="129">
        <v>21.35</v>
      </c>
      <c r="C25" s="130">
        <v>0.0591</v>
      </c>
    </row>
    <row r="26" ht="14" spans="1:3">
      <c r="A26" s="128" t="s">
        <v>458</v>
      </c>
      <c r="B26" s="129">
        <v>13.61</v>
      </c>
      <c r="C26" s="130">
        <v>0.0232</v>
      </c>
    </row>
    <row r="27" ht="14" spans="1:3">
      <c r="A27" s="128" t="s">
        <v>459</v>
      </c>
      <c r="B27" s="129">
        <v>9.74</v>
      </c>
      <c r="C27" s="130">
        <v>0.0372</v>
      </c>
    </row>
    <row r="28" ht="14" spans="1:3">
      <c r="A28" s="128" t="s">
        <v>460</v>
      </c>
      <c r="B28" s="129">
        <v>109.05</v>
      </c>
      <c r="C28" s="130">
        <v>0.0449</v>
      </c>
    </row>
    <row r="29" ht="14" spans="1:3">
      <c r="A29" s="128" t="s">
        <v>461</v>
      </c>
      <c r="B29" s="129">
        <v>303.3</v>
      </c>
      <c r="C29" s="130">
        <v>0.0371</v>
      </c>
    </row>
    <row r="30" ht="14" spans="1:3">
      <c r="A30" s="128" t="s">
        <v>462</v>
      </c>
      <c r="B30" s="129">
        <v>492.84</v>
      </c>
      <c r="C30" s="130">
        <v>0.048</v>
      </c>
    </row>
    <row r="31" ht="14" spans="1:3">
      <c r="A31" s="128" t="s">
        <v>463</v>
      </c>
      <c r="B31" s="129">
        <v>85.01</v>
      </c>
      <c r="C31" s="130">
        <v>0.0248</v>
      </c>
    </row>
    <row r="32" ht="12.5" spans="1:3">
      <c r="A32" s="52" t="s">
        <v>464</v>
      </c>
      <c r="B32" s="52">
        <v>0.96</v>
      </c>
      <c r="C32" s="131">
        <v>0.0275</v>
      </c>
    </row>
    <row r="33" ht="12.5" spans="1:3">
      <c r="A33" s="52" t="s">
        <v>462</v>
      </c>
      <c r="B33" s="52">
        <v>504.87</v>
      </c>
      <c r="C33" s="131">
        <v>0.0476</v>
      </c>
    </row>
    <row r="34" ht="12.5" spans="1:3">
      <c r="A34" s="52" t="s">
        <v>463</v>
      </c>
      <c r="B34" s="52">
        <v>71.7</v>
      </c>
      <c r="C34" s="131">
        <v>0.0235</v>
      </c>
    </row>
    <row r="35" ht="12.5" spans="1:3">
      <c r="A35" s="3" t="s">
        <v>465</v>
      </c>
      <c r="B35" s="52">
        <v>65.27</v>
      </c>
      <c r="C35" s="131">
        <v>0.0854</v>
      </c>
    </row>
    <row r="36" ht="14" spans="1:3">
      <c r="A36" s="128" t="s">
        <v>439</v>
      </c>
      <c r="B36" s="129">
        <v>37.9</v>
      </c>
      <c r="C36" s="130">
        <v>0.0184</v>
      </c>
    </row>
    <row r="37" ht="14" spans="1:3">
      <c r="A37" s="128" t="s">
        <v>466</v>
      </c>
      <c r="B37" s="129">
        <v>36.01</v>
      </c>
      <c r="C37" s="130">
        <v>0.0331</v>
      </c>
    </row>
    <row r="38" ht="14" spans="1:3">
      <c r="A38" s="128" t="s">
        <v>467</v>
      </c>
      <c r="B38" s="129">
        <v>9.29</v>
      </c>
      <c r="C38" s="130">
        <v>0.022</v>
      </c>
    </row>
    <row r="39" ht="14" spans="1:3">
      <c r="A39" s="128" t="s">
        <v>468</v>
      </c>
      <c r="B39" s="129">
        <v>27.13</v>
      </c>
      <c r="C39" s="130">
        <v>0.0259</v>
      </c>
    </row>
    <row r="40" ht="14" spans="1:3">
      <c r="A40" s="128" t="s">
        <v>469</v>
      </c>
      <c r="B40" s="129">
        <v>0.97</v>
      </c>
      <c r="C40" s="130">
        <v>0.0058</v>
      </c>
    </row>
    <row r="41" ht="14" spans="1:3">
      <c r="A41" s="128" t="s">
        <v>470</v>
      </c>
      <c r="B41" s="129">
        <v>49.78</v>
      </c>
      <c r="C41" s="130">
        <v>0.0327</v>
      </c>
    </row>
    <row r="42" ht="14" spans="1:3">
      <c r="A42" s="128" t="s">
        <v>471</v>
      </c>
      <c r="B42" s="129">
        <v>17.54</v>
      </c>
      <c r="C42" s="130">
        <v>0.0864</v>
      </c>
    </row>
    <row r="43" ht="14" spans="1:3">
      <c r="A43" s="128" t="s">
        <v>472</v>
      </c>
      <c r="B43" s="129">
        <v>59.2</v>
      </c>
      <c r="C43" s="130">
        <v>0.0659</v>
      </c>
    </row>
    <row r="44" ht="14" spans="1:3">
      <c r="A44" s="128" t="s">
        <v>473</v>
      </c>
      <c r="B44" s="129">
        <v>4.89</v>
      </c>
      <c r="C44" s="130">
        <v>0.0252</v>
      </c>
    </row>
    <row r="45" ht="14" spans="1:3">
      <c r="A45" s="128" t="s">
        <v>474</v>
      </c>
      <c r="B45" s="129">
        <v>9.59</v>
      </c>
      <c r="C45" s="130">
        <v>0.0385</v>
      </c>
    </row>
  </sheetData>
  <hyperlinks>
    <hyperlink ref="E1" r:id="rId1" display="https://app.powerbi.com/groups/e54bcaf0-c823-4267-9233-8d36549c1445/reports/1a0ba469-3808-4629-a9e7-019a66c4572a/ReportSection295e34187cce4da18740?language=en-US&amp;experience=power-bi"/>
  </hyperlink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G996"/>
  <sheetViews>
    <sheetView workbookViewId="0">
      <selection activeCell="A1" sqref="A1"/>
    </sheetView>
  </sheetViews>
  <sheetFormatPr defaultColWidth="12.6636363636364" defaultRowHeight="15.75" customHeight="1" outlineLevelCol="6"/>
  <sheetData>
    <row r="1" customHeight="1" spans="1:7">
      <c r="A1" s="126" t="str">
        <f>IFERROR(__xludf.DUMMYFUNCTION("importrange(""https://docs.google.com/spreadsheets/d/1570S5fPNfBQDclqog0S0ny63ZzG4VVHsYJYIgb61nT4/edit#gid=2099665394"",""Summary!B:E"")"),"NG")</f>
        <v>NG</v>
      </c>
      <c r="B1" s="52"/>
      <c r="C1" s="52"/>
      <c r="D1" s="52"/>
      <c r="F1" s="52" t="s">
        <v>475</v>
      </c>
      <c r="G1" s="63" t="s">
        <v>476</v>
      </c>
    </row>
    <row r="2" customHeight="1" spans="1:4">
      <c r="A2" s="126" t="str">
        <f>IFERROR(__xludf.DUMMYFUNCTION("""COMPUTED_VALUE"""),"Onsite Visibility")</f>
        <v>Onsite Visibility</v>
      </c>
      <c r="B2" s="126" t="str">
        <f>IFERROR(__xludf.DUMMYFUNCTION("""COMPUTED_VALUE"""),"What?")</f>
        <v>What?</v>
      </c>
      <c r="C2" s="52"/>
      <c r="D2" s="52"/>
    </row>
    <row r="3" customHeight="1" spans="1:4">
      <c r="A3" s="126" t="str">
        <f>IFERROR(__xludf.DUMMYFUNCTION("""COMPUTED_VALUE"""),"Flash Sales")</f>
        <v>Flash Sales</v>
      </c>
      <c r="B3" s="126" t="str">
        <f>IFERROR(__xludf.DUMMYFUNCTION("""COMPUTED_VALUE"""),"3 Product Insertion")</f>
        <v>3 Product Insertion</v>
      </c>
      <c r="C3" s="52" t="str">
        <f>IFERROR(__xludf.DUMMYFUNCTION("""COMPUTED_VALUE"""),"Always on")</f>
        <v>Always on</v>
      </c>
      <c r="D3" s="52"/>
    </row>
    <row r="4" customHeight="1" spans="1:4">
      <c r="A4" s="126" t="str">
        <f>IFERROR(__xludf.DUMMYFUNCTION("""COMPUTED_VALUE"""),"Limited Stock Carousel")</f>
        <v>Limited Stock Carousel</v>
      </c>
      <c r="B4" s="126" t="str">
        <f>IFERROR(__xludf.DUMMYFUNCTION("""COMPUTED_VALUE"""),"1 Product Insertion")</f>
        <v>1 Product Insertion</v>
      </c>
      <c r="C4" s="52" t="str">
        <f>IFERROR(__xludf.DUMMYFUNCTION("""COMPUTED_VALUE"""),"Always on")</f>
        <v>Always on</v>
      </c>
      <c r="D4" s="52"/>
    </row>
    <row r="5" customHeight="1" spans="1:4">
      <c r="A5" s="126" t="str">
        <f>IFERROR(__xludf.DUMMYFUNCTION("""COMPUTED_VALUE"""),"Best Price Carousel")</f>
        <v>Best Price Carousel</v>
      </c>
      <c r="B5" s="126" t="str">
        <f>IFERROR(__xludf.DUMMYFUNCTION("""COMPUTED_VALUE"""),"2 Products insertion")</f>
        <v>2 Products insertion</v>
      </c>
      <c r="C5" s="52" t="str">
        <f>IFERROR(__xludf.DUMMYFUNCTION("""COMPUTED_VALUE"""),"Always on")</f>
        <v>Always on</v>
      </c>
      <c r="D5" s="52"/>
    </row>
    <row r="6" customHeight="1" spans="1:4">
      <c r="A6" s="52"/>
      <c r="B6" s="52"/>
      <c r="C6" s="52"/>
      <c r="D6" s="52"/>
    </row>
    <row r="7" customHeight="1" spans="1:4">
      <c r="A7" s="126" t="str">
        <f>IFERROR(__xludf.DUMMYFUNCTION("""COMPUTED_VALUE"""),"Social Media")</f>
        <v>Social Media</v>
      </c>
      <c r="B7" s="126" t="str">
        <f>IFERROR(__xludf.DUMMYFUNCTION("""COMPUTED_VALUE"""),"Facebook Stories")</f>
        <v>Facebook Stories</v>
      </c>
      <c r="C7" s="52" t="str">
        <f>IFERROR(__xludf.DUMMYFUNCTION("""COMPUTED_VALUE"""),"Twice weekly")</f>
        <v>Twice weekly</v>
      </c>
      <c r="D7" s="52"/>
    </row>
    <row r="8" customHeight="1" spans="1:4">
      <c r="A8" s="126" t="str">
        <f>IFERROR(__xludf.DUMMYFUNCTION("""COMPUTED_VALUE"""),"Social Media")</f>
        <v>Social Media</v>
      </c>
      <c r="B8" s="126" t="str">
        <f>IFERROR(__xludf.DUMMYFUNCTION("""COMPUTED_VALUE"""),"Instagram Stories")</f>
        <v>Instagram Stories</v>
      </c>
      <c r="C8" s="52" t="str">
        <f>IFERROR(__xludf.DUMMYFUNCTION("""COMPUTED_VALUE"""),"Twice weekly")</f>
        <v>Twice weekly</v>
      </c>
      <c r="D8" s="52"/>
    </row>
    <row r="9" customHeight="1" spans="1:4">
      <c r="A9" s="126" t="str">
        <f>IFERROR(__xludf.DUMMYFUNCTION("""COMPUTED_VALUE"""),"Social Media")</f>
        <v>Social Media</v>
      </c>
      <c r="B9" s="126" t="str">
        <f>IFERROR(__xludf.DUMMYFUNCTION("""COMPUTED_VALUE"""),"KOL")</f>
        <v>KOL</v>
      </c>
      <c r="C9" s="52" t="str">
        <f>IFERROR(__xludf.DUMMYFUNCTION("""COMPUTED_VALUE"""),"Twice weekly")</f>
        <v>Twice weekly</v>
      </c>
      <c r="D9" s="52"/>
    </row>
    <row r="10" customHeight="1" spans="1:4">
      <c r="A10" s="126" t="str">
        <f>IFERROR(__xludf.DUMMYFUNCTION("""COMPUTED_VALUE"""),"CRM")</f>
        <v>CRM</v>
      </c>
      <c r="B10" s="126" t="str">
        <f>IFERROR(__xludf.DUMMYFUNCTION("""COMPUTED_VALUE"""),"NL Insertion")</f>
        <v>NL Insertion</v>
      </c>
      <c r="C10" s="52" t="str">
        <f>IFERROR(__xludf.DUMMYFUNCTION("""COMPUTED_VALUE"""),"x")</f>
        <v>x</v>
      </c>
      <c r="D10" s="52" t="str">
        <f>IFERROR(__xludf.DUMMYFUNCTION("""COMPUTED_VALUE"""),"x")</f>
        <v>x</v>
      </c>
    </row>
    <row r="11" customHeight="1" spans="1:4">
      <c r="A11" s="126" t="str">
        <f>IFERROR(__xludf.DUMMYFUNCTION("""COMPUTED_VALUE"""),"CRM")</f>
        <v>CRM</v>
      </c>
      <c r="B11" s="126" t="str">
        <f>IFERROR(__xludf.DUMMYFUNCTION("""COMPUTED_VALUE"""),"Push Notification")</f>
        <v>Push Notification</v>
      </c>
      <c r="C11" s="52" t="str">
        <f>IFERROR(__xludf.DUMMYFUNCTION("""COMPUTED_VALUE"""),"x")</f>
        <v>x</v>
      </c>
      <c r="D11" s="52" t="str">
        <f>IFERROR(__xludf.DUMMYFUNCTION("""COMPUTED_VALUE"""),"x")</f>
        <v>x</v>
      </c>
    </row>
    <row r="12" customHeight="1" spans="1:4">
      <c r="A12" s="52"/>
      <c r="B12" s="52"/>
      <c r="C12" s="52"/>
      <c r="D12" s="52"/>
    </row>
    <row r="13" customHeight="1" spans="1:4">
      <c r="A13" s="126" t="str">
        <f>IFERROR(__xludf.DUMMYFUNCTION("""COMPUTED_VALUE"""),"KE")</f>
        <v>KE</v>
      </c>
      <c r="B13" s="52"/>
      <c r="C13" s="52"/>
      <c r="D13" s="52"/>
    </row>
    <row r="14" customHeight="1" spans="1:4">
      <c r="A14" s="126" t="str">
        <f>IFERROR(__xludf.DUMMYFUNCTION("""COMPUTED_VALUE"""),"Onsite Visibility")</f>
        <v>Onsite Visibility</v>
      </c>
      <c r="B14" s="126" t="str">
        <f>IFERROR(__xludf.DUMMYFUNCTION("""COMPUTED_VALUE"""),"What?")</f>
        <v>What?</v>
      </c>
      <c r="C14" s="52"/>
      <c r="D14" s="52"/>
    </row>
    <row r="15" customHeight="1" spans="1:4">
      <c r="A15" s="126" t="str">
        <f>IFERROR(__xludf.DUMMYFUNCTION("""COMPUTED_VALUE"""),"Flash Sales")</f>
        <v>Flash Sales</v>
      </c>
      <c r="B15" s="126" t="str">
        <f>IFERROR(__xludf.DUMMYFUNCTION("""COMPUTED_VALUE"""),"3 Product Insertion")</f>
        <v>3 Product Insertion</v>
      </c>
      <c r="C15" s="52" t="str">
        <f>IFERROR(__xludf.DUMMYFUNCTION("""COMPUTED_VALUE"""),"Always on")</f>
        <v>Always on</v>
      </c>
      <c r="D15" s="52"/>
    </row>
    <row r="16" customHeight="1" spans="1:4">
      <c r="A16" s="126" t="str">
        <f>IFERROR(__xludf.DUMMYFUNCTION("""COMPUTED_VALUE"""),"FBJ product floor")</f>
        <v>FBJ product floor</v>
      </c>
      <c r="B16" s="126" t="str">
        <f>IFERROR(__xludf.DUMMYFUNCTION("""COMPUTED_VALUE"""),"3 Product Insertion")</f>
        <v>3 Product Insertion</v>
      </c>
      <c r="C16" s="52" t="str">
        <f>IFERROR(__xludf.DUMMYFUNCTION("""COMPUTED_VALUE"""),"Always on")</f>
        <v>Always on</v>
      </c>
      <c r="D16" s="52"/>
    </row>
    <row r="17" customHeight="1" spans="1:4">
      <c r="A17" s="126" t="str">
        <f>IFERROR(__xludf.DUMMYFUNCTION("""COMPUTED_VALUE"""),"Top deals product floor")</f>
        <v>Top deals product floor</v>
      </c>
      <c r="B17" s="126" t="str">
        <f>IFERROR(__xludf.DUMMYFUNCTION("""COMPUTED_VALUE"""),"3 Product insertion")</f>
        <v>3 Product insertion</v>
      </c>
      <c r="C17" s="52" t="str">
        <f>IFERROR(__xludf.DUMMYFUNCTION("""COMPUTED_VALUE"""),"Occasionaly")</f>
        <v>Occasionaly</v>
      </c>
      <c r="D17" s="52"/>
    </row>
    <row r="18" customHeight="1" spans="1:4">
      <c r="A18" s="126" t="str">
        <f>IFERROR(__xludf.DUMMYFUNCTION("""COMPUTED_VALUE"""),"CRM")</f>
        <v>CRM</v>
      </c>
      <c r="B18" s="126" t="str">
        <f>IFERROR(__xludf.DUMMYFUNCTION("""COMPUTED_VALUE"""),"NL Insertion")</f>
        <v>NL Insertion</v>
      </c>
      <c r="C18" s="52" t="str">
        <f>IFERROR(__xludf.DUMMYFUNCTION("""COMPUTED_VALUE"""),"Every 2 weeks")</f>
        <v>Every 2 weeks</v>
      </c>
      <c r="D18" s="52"/>
    </row>
    <row r="19" customHeight="1" spans="1:4">
      <c r="A19" s="126" t="str">
        <f>IFERROR(__xludf.DUMMYFUNCTION("""COMPUTED_VALUE"""),"CRM")</f>
        <v>CRM</v>
      </c>
      <c r="B19" s="126" t="str">
        <f>IFERROR(__xludf.DUMMYFUNCTION("""COMPUTED_VALUE"""),"Push Notification")</f>
        <v>Push Notification</v>
      </c>
      <c r="C19" s="52" t="str">
        <f>IFERROR(__xludf.DUMMYFUNCTION("""COMPUTED_VALUE"""),"Every 2 weeks")</f>
        <v>Every 2 weeks</v>
      </c>
      <c r="D19" s="52"/>
    </row>
    <row r="20" customHeight="1" spans="1:4">
      <c r="A20" s="52"/>
      <c r="B20" s="52"/>
      <c r="C20" s="52"/>
      <c r="D20" s="52"/>
    </row>
    <row r="21" customHeight="1" spans="1:4">
      <c r="A21" s="126" t="str">
        <f>IFERROR(__xludf.DUMMYFUNCTION("""COMPUTED_VALUE"""),"UG")</f>
        <v>UG</v>
      </c>
      <c r="B21" s="52"/>
      <c r="C21" s="52"/>
      <c r="D21" s="52"/>
    </row>
    <row r="22" ht="12.5" spans="1:4">
      <c r="A22" s="126" t="str">
        <f>IFERROR(__xludf.DUMMYFUNCTION("""COMPUTED_VALUE"""),"Onsite Visibility")</f>
        <v>Onsite Visibility</v>
      </c>
      <c r="B22" s="126" t="str">
        <f>IFERROR(__xludf.DUMMYFUNCTION("""COMPUTED_VALUE"""),"What?")</f>
        <v>What?</v>
      </c>
      <c r="C22" s="52"/>
      <c r="D22" s="52"/>
    </row>
    <row r="23" ht="12.5" spans="1:4">
      <c r="A23" s="126" t="str">
        <f>IFERROR(__xludf.DUMMYFUNCTION("""COMPUTED_VALUE"""),"Flash Sales")</f>
        <v>Flash Sales</v>
      </c>
      <c r="B23" s="126" t="str">
        <f>IFERROR(__xludf.DUMMYFUNCTION("""COMPUTED_VALUE"""),"3 Product Insertion")</f>
        <v>3 Product Insertion</v>
      </c>
      <c r="C23" s="52" t="str">
        <f>IFERROR(__xludf.DUMMYFUNCTION("""COMPUTED_VALUE"""),"Always on")</f>
        <v>Always on</v>
      </c>
      <c r="D23" s="52"/>
    </row>
    <row r="24" ht="12.5" spans="1:4">
      <c r="A24" s="126" t="str">
        <f>IFERROR(__xludf.DUMMYFUNCTION("""COMPUTED_VALUE"""),"FBJ product floor")</f>
        <v>FBJ product floor</v>
      </c>
      <c r="B24" s="126" t="str">
        <f>IFERROR(__xludf.DUMMYFUNCTION("""COMPUTED_VALUE"""),"3 Product Insertion")</f>
        <v>3 Product Insertion</v>
      </c>
      <c r="C24" s="52" t="str">
        <f>IFERROR(__xludf.DUMMYFUNCTION("""COMPUTED_VALUE"""),"Always on")</f>
        <v>Always on</v>
      </c>
      <c r="D24" s="52"/>
    </row>
    <row r="25" ht="12.5" spans="1:4">
      <c r="A25" s="126" t="str">
        <f>IFERROR(__xludf.DUMMYFUNCTION("""COMPUTED_VALUE"""),"Top deals product floor")</f>
        <v>Top deals product floor</v>
      </c>
      <c r="B25" s="126" t="str">
        <f>IFERROR(__xludf.DUMMYFUNCTION("""COMPUTED_VALUE"""),"3 Product insertion")</f>
        <v>3 Product insertion</v>
      </c>
      <c r="C25" s="52" t="str">
        <f>IFERROR(__xludf.DUMMYFUNCTION("""COMPUTED_VALUE"""),"Always on")</f>
        <v>Always on</v>
      </c>
      <c r="D25" s="52"/>
    </row>
    <row r="26" ht="12.5" spans="1:4">
      <c r="A26" s="126" t="str">
        <f>IFERROR(__xludf.DUMMYFUNCTION("""COMPUTED_VALUE"""),"CRM")</f>
        <v>CRM</v>
      </c>
      <c r="B26" s="126" t="str">
        <f>IFERROR(__xludf.DUMMYFUNCTION("""COMPUTED_VALUE"""),"NL Insertion")</f>
        <v>NL Insertion</v>
      </c>
      <c r="C26" s="52" t="str">
        <f>IFERROR(__xludf.DUMMYFUNCTION("""COMPUTED_VALUE"""),"Weekly")</f>
        <v>Weekly</v>
      </c>
      <c r="D26" s="52"/>
    </row>
    <row r="27" ht="12.5" spans="1:4">
      <c r="A27" s="126" t="str">
        <f>IFERROR(__xludf.DUMMYFUNCTION("""COMPUTED_VALUE"""),"CRM")</f>
        <v>CRM</v>
      </c>
      <c r="B27" s="126" t="str">
        <f>IFERROR(__xludf.DUMMYFUNCTION("""COMPUTED_VALUE"""),"Push Notification")</f>
        <v>Push Notification</v>
      </c>
      <c r="C27" s="52" t="str">
        <f>IFERROR(__xludf.DUMMYFUNCTION("""COMPUTED_VALUE"""),"Weekly")</f>
        <v>Weekly</v>
      </c>
      <c r="D27" s="52"/>
    </row>
    <row r="28" ht="12.5" spans="1:4">
      <c r="A28" s="52"/>
      <c r="B28" s="52"/>
      <c r="C28" s="52"/>
      <c r="D28" s="52"/>
    </row>
    <row r="29" ht="12.5" spans="1:4">
      <c r="A29" s="126" t="str">
        <f>IFERROR(__xludf.DUMMYFUNCTION("""COMPUTED_VALUE"""),"IC")</f>
        <v>IC</v>
      </c>
      <c r="B29" s="52"/>
      <c r="C29" s="52"/>
      <c r="D29" s="52"/>
    </row>
    <row r="30" ht="12.5" spans="1:4">
      <c r="A30" s="126" t="str">
        <f>IFERROR(__xludf.DUMMYFUNCTION("""COMPUTED_VALUE"""),"Onsite Visibility")</f>
        <v>Onsite Visibility</v>
      </c>
      <c r="B30" s="126" t="str">
        <f>IFERROR(__xludf.DUMMYFUNCTION("""COMPUTED_VALUE"""),"What?")</f>
        <v>What?</v>
      </c>
      <c r="C30" s="52"/>
      <c r="D30" s="52"/>
    </row>
    <row r="31" ht="12.5" spans="1:4">
      <c r="A31" s="126" t="str">
        <f>IFERROR(__xludf.DUMMYFUNCTION("""COMPUTED_VALUE"""),"Flash Sales")</f>
        <v>Flash Sales</v>
      </c>
      <c r="B31" s="126" t="str">
        <f>IFERROR(__xludf.DUMMYFUNCTION("""COMPUTED_VALUE"""),"3 Product Insertion")</f>
        <v>3 Product Insertion</v>
      </c>
      <c r="C31" s="52" t="str">
        <f>IFERROR(__xludf.DUMMYFUNCTION("""COMPUTED_VALUE"""),"Always on")</f>
        <v>Always on</v>
      </c>
      <c r="D31" s="52"/>
    </row>
    <row r="32" ht="12.5" spans="1:4">
      <c r="A32" s="126" t="str">
        <f>IFERROR(__xludf.DUMMYFUNCTION("""COMPUTED_VALUE"""),"FBJ product floor")</f>
        <v>FBJ product floor</v>
      </c>
      <c r="B32" s="126" t="str">
        <f>IFERROR(__xludf.DUMMYFUNCTION("""COMPUTED_VALUE"""),"3 Product Insertion")</f>
        <v>3 Product Insertion</v>
      </c>
      <c r="C32" s="52" t="str">
        <f>IFERROR(__xludf.DUMMYFUNCTION("""COMPUTED_VALUE"""),"Always on")</f>
        <v>Always on</v>
      </c>
      <c r="D32" s="52"/>
    </row>
    <row r="33" ht="12.5" spans="1:4">
      <c r="A33" s="126" t="str">
        <f>IFERROR(__xludf.DUMMYFUNCTION("""COMPUTED_VALUE"""),"Top deals product floor")</f>
        <v>Top deals product floor</v>
      </c>
      <c r="B33" s="126" t="str">
        <f>IFERROR(__xludf.DUMMYFUNCTION("""COMPUTED_VALUE"""),"3 Product insertion")</f>
        <v>3 Product insertion</v>
      </c>
      <c r="C33" s="52" t="str">
        <f>IFERROR(__xludf.DUMMYFUNCTION("""COMPUTED_VALUE"""),"Occasionaly")</f>
        <v>Occasionaly</v>
      </c>
      <c r="D33" s="52"/>
    </row>
    <row r="34" ht="12.5" spans="1:4">
      <c r="A34" s="126" t="str">
        <f>IFERROR(__xludf.DUMMYFUNCTION("""COMPUTED_VALUE"""),"CRM")</f>
        <v>CRM</v>
      </c>
      <c r="B34" s="126" t="str">
        <f>IFERROR(__xludf.DUMMYFUNCTION("""COMPUTED_VALUE"""),"NL Insertion")</f>
        <v>NL Insertion</v>
      </c>
      <c r="C34" s="52" t="str">
        <f>IFERROR(__xludf.DUMMYFUNCTION("""COMPUTED_VALUE"""),"Every 2 weeks")</f>
        <v>Every 2 weeks</v>
      </c>
      <c r="D34" s="52"/>
    </row>
    <row r="35" ht="12.5" spans="1:4">
      <c r="A35" s="126" t="str">
        <f>IFERROR(__xludf.DUMMYFUNCTION("""COMPUTED_VALUE"""),"CRM")</f>
        <v>CRM</v>
      </c>
      <c r="B35" s="126" t="str">
        <f>IFERROR(__xludf.DUMMYFUNCTION("""COMPUTED_VALUE"""),"Push Notification")</f>
        <v>Push Notification</v>
      </c>
      <c r="C35" s="52" t="str">
        <f>IFERROR(__xludf.DUMMYFUNCTION("""COMPUTED_VALUE"""),"Every 2 weeks")</f>
        <v>Every 2 weeks</v>
      </c>
      <c r="D35" s="52"/>
    </row>
    <row r="36" ht="12.5" spans="1:4">
      <c r="A36" s="52"/>
      <c r="B36" s="52"/>
      <c r="C36" s="52"/>
      <c r="D36" s="52"/>
    </row>
    <row r="37" ht="12.5" spans="1:4">
      <c r="A37" s="52"/>
      <c r="B37" s="52"/>
      <c r="C37" s="52"/>
      <c r="D37" s="52"/>
    </row>
    <row r="38" ht="12.5" spans="1:4">
      <c r="A38" s="126" t="str">
        <f>IFERROR(__xludf.DUMMYFUNCTION("""COMPUTED_VALUE"""),"GH")</f>
        <v>GH</v>
      </c>
      <c r="B38" s="52"/>
      <c r="C38" s="52"/>
      <c r="D38" s="52"/>
    </row>
    <row r="39" ht="12.5" spans="1:4">
      <c r="A39" s="126" t="str">
        <f>IFERROR(__xludf.DUMMYFUNCTION("""COMPUTED_VALUE"""),"Onsite Visibility")</f>
        <v>Onsite Visibility</v>
      </c>
      <c r="B39" s="126" t="str">
        <f>IFERROR(__xludf.DUMMYFUNCTION("""COMPUTED_VALUE"""),"What?")</f>
        <v>What?</v>
      </c>
      <c r="C39" s="52"/>
      <c r="D39" s="52"/>
    </row>
    <row r="40" ht="12.5" spans="1:4">
      <c r="A40" s="126" t="str">
        <f>IFERROR(__xludf.DUMMYFUNCTION("""COMPUTED_VALUE"""),"Flash Sales")</f>
        <v>Flash Sales</v>
      </c>
      <c r="B40" s="126" t="str">
        <f>IFERROR(__xludf.DUMMYFUNCTION("""COMPUTED_VALUE"""),"3 Product Insertion")</f>
        <v>3 Product Insertion</v>
      </c>
      <c r="C40" s="52" t="str">
        <f>IFERROR(__xludf.DUMMYFUNCTION("""COMPUTED_VALUE"""),"Always on")</f>
        <v>Always on</v>
      </c>
      <c r="D40" s="52"/>
    </row>
    <row r="41" ht="12.5" spans="1:4">
      <c r="A41" s="126" t="str">
        <f>IFERROR(__xludf.DUMMYFUNCTION("""COMPUTED_VALUE"""),"FBJ product floor")</f>
        <v>FBJ product floor</v>
      </c>
      <c r="B41" s="126" t="str">
        <f>IFERROR(__xludf.DUMMYFUNCTION("""COMPUTED_VALUE"""),"3 Product Insertion")</f>
        <v>3 Product Insertion</v>
      </c>
      <c r="C41" s="52" t="str">
        <f>IFERROR(__xludf.DUMMYFUNCTION("""COMPUTED_VALUE"""),"Always on")</f>
        <v>Always on</v>
      </c>
      <c r="D41" s="52"/>
    </row>
    <row r="42" ht="12.5" spans="1:4">
      <c r="A42" s="126" t="str">
        <f>IFERROR(__xludf.DUMMYFUNCTION("""COMPUTED_VALUE"""),"Top deals product floor")</f>
        <v>Top deals product floor</v>
      </c>
      <c r="B42" s="126" t="str">
        <f>IFERROR(__xludf.DUMMYFUNCTION("""COMPUTED_VALUE"""),"1 Product insertion")</f>
        <v>1 Product insertion</v>
      </c>
      <c r="C42" s="52" t="str">
        <f>IFERROR(__xludf.DUMMYFUNCTION("""COMPUTED_VALUE"""),"Always on")</f>
        <v>Always on</v>
      </c>
      <c r="D42" s="52"/>
    </row>
    <row r="43" ht="12.5" spans="1:4">
      <c r="A43" s="126" t="str">
        <f>IFERROR(__xludf.DUMMYFUNCTION("""COMPUTED_VALUE"""),"CRM")</f>
        <v>CRM</v>
      </c>
      <c r="B43" s="126" t="str">
        <f>IFERROR(__xludf.DUMMYFUNCTION("""COMPUTED_VALUE"""),"NL Insertion")</f>
        <v>NL Insertion</v>
      </c>
      <c r="C43" s="52" t="str">
        <f>IFERROR(__xludf.DUMMYFUNCTION("""COMPUTED_VALUE"""),"Every week")</f>
        <v>Every week</v>
      </c>
      <c r="D43" s="52"/>
    </row>
    <row r="44" ht="12.5" spans="1:4">
      <c r="A44" s="126" t="str">
        <f>IFERROR(__xludf.DUMMYFUNCTION("""COMPUTED_VALUE"""),"CRM")</f>
        <v>CRM</v>
      </c>
      <c r="B44" s="126" t="str">
        <f>IFERROR(__xludf.DUMMYFUNCTION("""COMPUTED_VALUE"""),"Push Notification")</f>
        <v>Push Notification</v>
      </c>
      <c r="C44" s="52" t="str">
        <f>IFERROR(__xludf.DUMMYFUNCTION("""COMPUTED_VALUE"""),"Every week  - Targeted User")</f>
        <v>Every week  - Targeted User</v>
      </c>
      <c r="D44" s="52"/>
    </row>
    <row r="45" ht="12.5" spans="1:4">
      <c r="A45" s="52"/>
      <c r="B45" s="52"/>
      <c r="C45" s="52"/>
      <c r="D45" s="52"/>
    </row>
    <row r="46" ht="12.5" spans="1:4">
      <c r="A46" s="52"/>
      <c r="B46" s="52"/>
      <c r="C46" s="52"/>
      <c r="D46" s="52"/>
    </row>
    <row r="47" ht="12.5" spans="1:4">
      <c r="A47" s="126" t="str">
        <f>IFERROR(__xludf.DUMMYFUNCTION("""COMPUTED_VALUE"""),"SN")</f>
        <v>SN</v>
      </c>
      <c r="B47" s="52"/>
      <c r="C47" s="52"/>
      <c r="D47" s="52"/>
    </row>
    <row r="48" ht="12.5" spans="1:4">
      <c r="A48" s="126" t="str">
        <f>IFERROR(__xludf.DUMMYFUNCTION("""COMPUTED_VALUE"""),"Onsite Visibility")</f>
        <v>Onsite Visibility</v>
      </c>
      <c r="B48" s="126" t="str">
        <f>IFERROR(__xludf.DUMMYFUNCTION("""COMPUTED_VALUE"""),"What?")</f>
        <v>What?</v>
      </c>
      <c r="C48" s="52"/>
      <c r="D48" s="52"/>
    </row>
    <row r="49" ht="12.5" spans="1:4">
      <c r="A49" s="126" t="str">
        <f>IFERROR(__xludf.DUMMYFUNCTION("""COMPUTED_VALUE"""),"Flash Sales")</f>
        <v>Flash Sales</v>
      </c>
      <c r="B49" s="126" t="str">
        <f>IFERROR(__xludf.DUMMYFUNCTION("""COMPUTED_VALUE"""),"3 Product Insertion")</f>
        <v>3 Product Insertion</v>
      </c>
      <c r="C49" s="52" t="str">
        <f>IFERROR(__xludf.DUMMYFUNCTION("""COMPUTED_VALUE"""),"Always on")</f>
        <v>Always on</v>
      </c>
      <c r="D49" s="52"/>
    </row>
    <row r="50" ht="12.5" spans="1:4">
      <c r="A50" s="126" t="str">
        <f>IFERROR(__xludf.DUMMYFUNCTION("""COMPUTED_VALUE"""),"FBJ product floor")</f>
        <v>FBJ product floor</v>
      </c>
      <c r="B50" s="126" t="str">
        <f>IFERROR(__xludf.DUMMYFUNCTION("""COMPUTED_VALUE"""),"3 Product Insertion")</f>
        <v>3 Product Insertion</v>
      </c>
      <c r="C50" s="52" t="str">
        <f>IFERROR(__xludf.DUMMYFUNCTION("""COMPUTED_VALUE"""),"Always on")</f>
        <v>Always on</v>
      </c>
      <c r="D50" s="52"/>
    </row>
    <row r="51" ht="12.5" spans="1:4">
      <c r="A51" s="126" t="str">
        <f>IFERROR(__xludf.DUMMYFUNCTION("""COMPUTED_VALUE"""),"Top deals product floor")</f>
        <v>Top deals product floor</v>
      </c>
      <c r="B51" s="126" t="str">
        <f>IFERROR(__xludf.DUMMYFUNCTION("""COMPUTED_VALUE"""),"3 Product insertion")</f>
        <v>3 Product insertion</v>
      </c>
      <c r="C51" s="52" t="str">
        <f>IFERROR(__xludf.DUMMYFUNCTION("""COMPUTED_VALUE"""),"Always on")</f>
        <v>Always on</v>
      </c>
      <c r="D51" s="52"/>
    </row>
    <row r="52" ht="12.5" spans="1:4">
      <c r="A52" s="126" t="str">
        <f>IFERROR(__xludf.DUMMYFUNCTION("""COMPUTED_VALUE"""),"CRM")</f>
        <v>CRM</v>
      </c>
      <c r="B52" s="126" t="str">
        <f>IFERROR(__xludf.DUMMYFUNCTION("""COMPUTED_VALUE"""),"NL Insertion")</f>
        <v>NL Insertion</v>
      </c>
      <c r="C52" s="52" t="str">
        <f>IFERROR(__xludf.DUMMYFUNCTION("""COMPUTED_VALUE"""),"Every 2 weeks")</f>
        <v>Every 2 weeks</v>
      </c>
      <c r="D52" s="52"/>
    </row>
    <row r="53" ht="12.5" spans="1:4">
      <c r="A53" s="126" t="str">
        <f>IFERROR(__xludf.DUMMYFUNCTION("""COMPUTED_VALUE"""),"CRM")</f>
        <v>CRM</v>
      </c>
      <c r="B53" s="126" t="str">
        <f>IFERROR(__xludf.DUMMYFUNCTION("""COMPUTED_VALUE"""),"Push Notification")</f>
        <v>Push Notification</v>
      </c>
      <c r="C53" s="52" t="str">
        <f>IFERROR(__xludf.DUMMYFUNCTION("""COMPUTED_VALUE"""),"Every 2 weeks")</f>
        <v>Every 2 weeks</v>
      </c>
      <c r="D53" s="52"/>
    </row>
    <row r="54" ht="12.5" spans="1:4">
      <c r="A54" s="52"/>
      <c r="B54" s="52"/>
      <c r="C54" s="52"/>
      <c r="D54" s="52"/>
    </row>
    <row r="55" ht="12.5" spans="1:4">
      <c r="A55" s="52"/>
      <c r="B55" s="52"/>
      <c r="C55" s="52"/>
      <c r="D55" s="52"/>
    </row>
    <row r="56" ht="12.5" spans="1:4">
      <c r="A56" s="52"/>
      <c r="B56" s="52"/>
      <c r="C56" s="52"/>
      <c r="D56" s="52"/>
    </row>
    <row r="57" ht="12.5" spans="1:4">
      <c r="A57" s="52"/>
      <c r="B57" s="52"/>
      <c r="C57" s="52"/>
      <c r="D57" s="52"/>
    </row>
    <row r="58" ht="12.5" spans="1:4">
      <c r="A58" s="52"/>
      <c r="B58" s="52"/>
      <c r="C58" s="52"/>
      <c r="D58" s="52"/>
    </row>
    <row r="59" ht="12.5" spans="1:4">
      <c r="A59" s="52"/>
      <c r="B59" s="52"/>
      <c r="C59" s="52"/>
      <c r="D59" s="52"/>
    </row>
    <row r="60" ht="12.5" spans="1:4">
      <c r="A60" s="52"/>
      <c r="B60" s="52"/>
      <c r="C60" s="52"/>
      <c r="D60" s="52"/>
    </row>
    <row r="61" ht="12.5" spans="1:4">
      <c r="A61" s="52"/>
      <c r="B61" s="52"/>
      <c r="C61" s="52"/>
      <c r="D61" s="52"/>
    </row>
    <row r="62" ht="12.5" spans="1:4">
      <c r="A62" s="52"/>
      <c r="B62" s="52"/>
      <c r="C62" s="52"/>
      <c r="D62" s="52"/>
    </row>
    <row r="63" ht="12.5" spans="1:4">
      <c r="A63" s="52"/>
      <c r="B63" s="52"/>
      <c r="C63" s="52"/>
      <c r="D63" s="52"/>
    </row>
    <row r="64" ht="12.5" spans="1:4">
      <c r="A64" s="52"/>
      <c r="B64" s="52"/>
      <c r="C64" s="52"/>
      <c r="D64" s="52"/>
    </row>
    <row r="65" ht="12.5" spans="1:4">
      <c r="A65" s="52"/>
      <c r="B65" s="52"/>
      <c r="C65" s="52"/>
      <c r="D65" s="52"/>
    </row>
    <row r="66" ht="12.5" spans="1:4">
      <c r="A66" s="52"/>
      <c r="B66" s="52"/>
      <c r="C66" s="52"/>
      <c r="D66" s="52"/>
    </row>
    <row r="67" ht="12.5" spans="1:4">
      <c r="A67" s="52"/>
      <c r="B67" s="52"/>
      <c r="C67" s="52"/>
      <c r="D67" s="52"/>
    </row>
    <row r="68" ht="12.5" spans="1:4">
      <c r="A68" s="52"/>
      <c r="B68" s="52"/>
      <c r="C68" s="52"/>
      <c r="D68" s="52"/>
    </row>
    <row r="69" ht="12.5" spans="1:4">
      <c r="A69" s="52"/>
      <c r="B69" s="52"/>
      <c r="C69" s="52"/>
      <c r="D69" s="52"/>
    </row>
    <row r="70" ht="12.5" spans="1:4">
      <c r="A70" s="52"/>
      <c r="B70" s="52"/>
      <c r="C70" s="52"/>
      <c r="D70" s="52"/>
    </row>
    <row r="71" ht="12.5" spans="1:4">
      <c r="A71" s="52"/>
      <c r="B71" s="52"/>
      <c r="C71" s="52"/>
      <c r="D71" s="52"/>
    </row>
    <row r="72" ht="12.5" spans="1:4">
      <c r="A72" s="52"/>
      <c r="B72" s="52"/>
      <c r="C72" s="52"/>
      <c r="D72" s="52"/>
    </row>
    <row r="73" ht="12.5" spans="1:4">
      <c r="A73" s="52"/>
      <c r="B73" s="52"/>
      <c r="C73" s="52"/>
      <c r="D73" s="52"/>
    </row>
    <row r="74" ht="12.5" spans="1:4">
      <c r="A74" s="52"/>
      <c r="B74" s="52"/>
      <c r="C74" s="52"/>
      <c r="D74" s="52"/>
    </row>
    <row r="75" ht="12.5" spans="1:4">
      <c r="A75" s="52"/>
      <c r="B75" s="52"/>
      <c r="C75" s="52"/>
      <c r="D75" s="52"/>
    </row>
    <row r="76" ht="12.5" spans="1:4">
      <c r="A76" s="52"/>
      <c r="B76" s="52"/>
      <c r="C76" s="52"/>
      <c r="D76" s="52"/>
    </row>
    <row r="77" ht="12.5" spans="1:4">
      <c r="A77" s="52"/>
      <c r="B77" s="52"/>
      <c r="C77" s="52"/>
      <c r="D77" s="52"/>
    </row>
    <row r="78" ht="12.5" spans="1:4">
      <c r="A78" s="52"/>
      <c r="B78" s="52"/>
      <c r="C78" s="52"/>
      <c r="D78" s="52"/>
    </row>
    <row r="79" ht="12.5" spans="1:4">
      <c r="A79" s="52"/>
      <c r="B79" s="52"/>
      <c r="C79" s="52"/>
      <c r="D79" s="52"/>
    </row>
    <row r="80" ht="12.5" spans="1:4">
      <c r="A80" s="52"/>
      <c r="B80" s="52"/>
      <c r="C80" s="52"/>
      <c r="D80" s="52"/>
    </row>
    <row r="81" ht="12.5" spans="1:4">
      <c r="A81" s="52"/>
      <c r="B81" s="52"/>
      <c r="C81" s="52"/>
      <c r="D81" s="52"/>
    </row>
    <row r="82" ht="12.5" spans="1:4">
      <c r="A82" s="52"/>
      <c r="B82" s="52"/>
      <c r="C82" s="52"/>
      <c r="D82" s="52"/>
    </row>
    <row r="83" ht="12.5" spans="1:4">
      <c r="A83" s="52"/>
      <c r="B83" s="52"/>
      <c r="C83" s="52"/>
      <c r="D83" s="52"/>
    </row>
    <row r="84" ht="12.5" spans="1:4">
      <c r="A84" s="52"/>
      <c r="B84" s="52"/>
      <c r="C84" s="52"/>
      <c r="D84" s="52"/>
    </row>
    <row r="85" ht="12.5" spans="1:4">
      <c r="A85" s="52"/>
      <c r="B85" s="52"/>
      <c r="C85" s="52"/>
      <c r="D85" s="52"/>
    </row>
    <row r="86" ht="12.5" spans="1:4">
      <c r="A86" s="52"/>
      <c r="B86" s="52"/>
      <c r="C86" s="52"/>
      <c r="D86" s="52"/>
    </row>
    <row r="87" ht="12.5" spans="1:4">
      <c r="A87" s="52"/>
      <c r="B87" s="52"/>
      <c r="C87" s="52"/>
      <c r="D87" s="52"/>
    </row>
    <row r="88" ht="12.5" spans="1:4">
      <c r="A88" s="52"/>
      <c r="B88" s="52"/>
      <c r="C88" s="52"/>
      <c r="D88" s="52"/>
    </row>
    <row r="89" ht="12.5" spans="1:4">
      <c r="A89" s="52"/>
      <c r="B89" s="52"/>
      <c r="C89" s="52"/>
      <c r="D89" s="52"/>
    </row>
    <row r="90" ht="12.5" spans="1:4">
      <c r="A90" s="52"/>
      <c r="B90" s="52"/>
      <c r="C90" s="52"/>
      <c r="D90" s="52"/>
    </row>
    <row r="91" ht="12.5" spans="1:4">
      <c r="A91" s="52"/>
      <c r="B91" s="52"/>
      <c r="C91" s="52"/>
      <c r="D91" s="52"/>
    </row>
    <row r="92" ht="12.5" spans="1:4">
      <c r="A92" s="52"/>
      <c r="B92" s="52"/>
      <c r="C92" s="52"/>
      <c r="D92" s="52"/>
    </row>
    <row r="93" ht="12.5" spans="1:4">
      <c r="A93" s="52"/>
      <c r="B93" s="52"/>
      <c r="C93" s="52"/>
      <c r="D93" s="52"/>
    </row>
    <row r="94" ht="12.5" spans="1:4">
      <c r="A94" s="52"/>
      <c r="B94" s="52"/>
      <c r="C94" s="52"/>
      <c r="D94" s="52"/>
    </row>
    <row r="95" ht="12.5" spans="1:4">
      <c r="A95" s="52"/>
      <c r="B95" s="52"/>
      <c r="C95" s="52"/>
      <c r="D95" s="52"/>
    </row>
    <row r="96" ht="12.5" spans="1:4">
      <c r="A96" s="52"/>
      <c r="B96" s="52"/>
      <c r="C96" s="52"/>
      <c r="D96" s="52"/>
    </row>
    <row r="97" ht="12.5" spans="1:4">
      <c r="A97" s="52"/>
      <c r="B97" s="52"/>
      <c r="C97" s="52"/>
      <c r="D97" s="52"/>
    </row>
    <row r="98" ht="12.5" spans="1:4">
      <c r="A98" s="52"/>
      <c r="B98" s="52"/>
      <c r="C98" s="52"/>
      <c r="D98" s="52"/>
    </row>
    <row r="99" ht="12.5" spans="1:4">
      <c r="A99" s="52"/>
      <c r="B99" s="52"/>
      <c r="C99" s="52"/>
      <c r="D99" s="52"/>
    </row>
    <row r="100" ht="12.5" spans="1:4">
      <c r="A100" s="52"/>
      <c r="B100" s="52"/>
      <c r="C100" s="52"/>
      <c r="D100" s="52"/>
    </row>
    <row r="101" ht="12.5" spans="1:4">
      <c r="A101" s="52"/>
      <c r="B101" s="52"/>
      <c r="C101" s="52"/>
      <c r="D101" s="52"/>
    </row>
    <row r="102" ht="12.5" spans="1:4">
      <c r="A102" s="52"/>
      <c r="B102" s="52"/>
      <c r="C102" s="52"/>
      <c r="D102" s="52"/>
    </row>
    <row r="103" ht="12.5" spans="1:4">
      <c r="A103" s="52"/>
      <c r="B103" s="52"/>
      <c r="C103" s="52"/>
      <c r="D103" s="52"/>
    </row>
    <row r="104" ht="12.5" spans="1:4">
      <c r="A104" s="52"/>
      <c r="B104" s="52"/>
      <c r="C104" s="52"/>
      <c r="D104" s="52"/>
    </row>
    <row r="105" ht="12.5" spans="1:4">
      <c r="A105" s="52"/>
      <c r="B105" s="52"/>
      <c r="C105" s="52"/>
      <c r="D105" s="52"/>
    </row>
    <row r="106" ht="12.5" spans="1:4">
      <c r="A106" s="52"/>
      <c r="B106" s="52"/>
      <c r="C106" s="52"/>
      <c r="D106" s="52"/>
    </row>
    <row r="107" ht="12.5" spans="1:4">
      <c r="A107" s="52"/>
      <c r="B107" s="52"/>
      <c r="C107" s="52"/>
      <c r="D107" s="52"/>
    </row>
    <row r="108" ht="12.5" spans="1:4">
      <c r="A108" s="52"/>
      <c r="B108" s="52"/>
      <c r="C108" s="52"/>
      <c r="D108" s="52"/>
    </row>
    <row r="109" ht="12.5" spans="1:4">
      <c r="A109" s="52"/>
      <c r="B109" s="52"/>
      <c r="C109" s="52"/>
      <c r="D109" s="52"/>
    </row>
    <row r="110" ht="12.5" spans="1:4">
      <c r="A110" s="52"/>
      <c r="B110" s="52"/>
      <c r="C110" s="52"/>
      <c r="D110" s="52"/>
    </row>
    <row r="111" ht="12.5" spans="1:4">
      <c r="A111" s="52"/>
      <c r="B111" s="52"/>
      <c r="C111" s="52"/>
      <c r="D111" s="52"/>
    </row>
    <row r="112" ht="12.5" spans="1:4">
      <c r="A112" s="52"/>
      <c r="B112" s="52"/>
      <c r="C112" s="52"/>
      <c r="D112" s="52"/>
    </row>
    <row r="113" ht="12.5" spans="1:4">
      <c r="A113" s="52"/>
      <c r="B113" s="52"/>
      <c r="C113" s="52"/>
      <c r="D113" s="52"/>
    </row>
    <row r="114" ht="12.5" spans="1:4">
      <c r="A114" s="52"/>
      <c r="B114" s="52"/>
      <c r="C114" s="52"/>
      <c r="D114" s="52"/>
    </row>
    <row r="115" ht="12.5" spans="1:4">
      <c r="A115" s="52"/>
      <c r="B115" s="52"/>
      <c r="C115" s="52"/>
      <c r="D115" s="52"/>
    </row>
    <row r="116" ht="12.5" spans="1:4">
      <c r="A116" s="52"/>
      <c r="B116" s="52"/>
      <c r="C116" s="52"/>
      <c r="D116" s="52"/>
    </row>
    <row r="117" ht="12.5" spans="1:4">
      <c r="A117" s="52"/>
      <c r="B117" s="52"/>
      <c r="C117" s="52"/>
      <c r="D117" s="52"/>
    </row>
    <row r="118" ht="12.5" spans="1:4">
      <c r="A118" s="52"/>
      <c r="B118" s="52"/>
      <c r="C118" s="52"/>
      <c r="D118" s="52"/>
    </row>
    <row r="119" ht="12.5" spans="1:4">
      <c r="A119" s="52"/>
      <c r="B119" s="52"/>
      <c r="C119" s="52"/>
      <c r="D119" s="52"/>
    </row>
    <row r="120" ht="12.5" spans="1:4">
      <c r="A120" s="52"/>
      <c r="B120" s="52"/>
      <c r="C120" s="52"/>
      <c r="D120" s="52"/>
    </row>
    <row r="121" ht="12.5" spans="1:4">
      <c r="A121" s="52"/>
      <c r="B121" s="52"/>
      <c r="C121" s="52"/>
      <c r="D121" s="52"/>
    </row>
    <row r="122" ht="12.5" spans="1:4">
      <c r="A122" s="52"/>
      <c r="B122" s="52"/>
      <c r="C122" s="52"/>
      <c r="D122" s="52"/>
    </row>
    <row r="123" ht="12.5" spans="1:4">
      <c r="A123" s="52"/>
      <c r="B123" s="52"/>
      <c r="C123" s="52"/>
      <c r="D123" s="52"/>
    </row>
    <row r="124" ht="12.5" spans="1:4">
      <c r="A124" s="52"/>
      <c r="B124" s="52"/>
      <c r="C124" s="52"/>
      <c r="D124" s="52"/>
    </row>
    <row r="125" ht="12.5" spans="1:4">
      <c r="A125" s="52"/>
      <c r="B125" s="52"/>
      <c r="C125" s="52"/>
      <c r="D125" s="52"/>
    </row>
    <row r="126" ht="12.5" spans="1:4">
      <c r="A126" s="52"/>
      <c r="B126" s="52"/>
      <c r="C126" s="52"/>
      <c r="D126" s="52"/>
    </row>
    <row r="127" ht="12.5" spans="1:4">
      <c r="A127" s="52"/>
      <c r="B127" s="52"/>
      <c r="C127" s="52"/>
      <c r="D127" s="52"/>
    </row>
    <row r="128" ht="12.5" spans="1:4">
      <c r="A128" s="52"/>
      <c r="B128" s="52"/>
      <c r="C128" s="52"/>
      <c r="D128" s="52"/>
    </row>
    <row r="129" ht="12.5" spans="1:4">
      <c r="A129" s="52"/>
      <c r="B129" s="52"/>
      <c r="C129" s="52"/>
      <c r="D129" s="52"/>
    </row>
    <row r="130" ht="12.5" spans="1:4">
      <c r="A130" s="52"/>
      <c r="B130" s="52"/>
      <c r="C130" s="52"/>
      <c r="D130" s="52"/>
    </row>
    <row r="131" ht="12.5" spans="1:4">
      <c r="A131" s="52"/>
      <c r="B131" s="52"/>
      <c r="C131" s="52"/>
      <c r="D131" s="52"/>
    </row>
    <row r="132" ht="12.5" spans="1:4">
      <c r="A132" s="52"/>
      <c r="B132" s="52"/>
      <c r="C132" s="52"/>
      <c r="D132" s="52"/>
    </row>
    <row r="133" ht="12.5" spans="1:4">
      <c r="A133" s="52"/>
      <c r="B133" s="52"/>
      <c r="C133" s="52"/>
      <c r="D133" s="52"/>
    </row>
    <row r="134" ht="12.5" spans="1:4">
      <c r="A134" s="52"/>
      <c r="B134" s="52"/>
      <c r="C134" s="52"/>
      <c r="D134" s="52"/>
    </row>
    <row r="135" ht="12.5" spans="1:4">
      <c r="A135" s="52"/>
      <c r="B135" s="52"/>
      <c r="C135" s="52"/>
      <c r="D135" s="52"/>
    </row>
    <row r="136" ht="12.5" spans="1:4">
      <c r="A136" s="52"/>
      <c r="B136" s="52"/>
      <c r="C136" s="52"/>
      <c r="D136" s="52"/>
    </row>
    <row r="137" ht="12.5" spans="1:4">
      <c r="A137" s="52"/>
      <c r="B137" s="52"/>
      <c r="C137" s="52"/>
      <c r="D137" s="52"/>
    </row>
    <row r="138" ht="12.5" spans="1:4">
      <c r="A138" s="52"/>
      <c r="B138" s="52"/>
      <c r="C138" s="52"/>
      <c r="D138" s="52"/>
    </row>
    <row r="139" ht="12.5" spans="1:4">
      <c r="A139" s="52"/>
      <c r="B139" s="52"/>
      <c r="C139" s="52"/>
      <c r="D139" s="52"/>
    </row>
    <row r="140" ht="12.5" spans="1:4">
      <c r="A140" s="52"/>
      <c r="B140" s="52"/>
      <c r="C140" s="52"/>
      <c r="D140" s="52"/>
    </row>
    <row r="141" ht="12.5" spans="1:4">
      <c r="A141" s="52"/>
      <c r="B141" s="52"/>
      <c r="C141" s="52"/>
      <c r="D141" s="52"/>
    </row>
    <row r="142" ht="12.5" spans="1:4">
      <c r="A142" s="52"/>
      <c r="B142" s="52"/>
      <c r="C142" s="52"/>
      <c r="D142" s="52"/>
    </row>
    <row r="143" ht="12.5" spans="1:4">
      <c r="A143" s="52"/>
      <c r="B143" s="52"/>
      <c r="C143" s="52"/>
      <c r="D143" s="52"/>
    </row>
    <row r="144" ht="12.5" spans="1:4">
      <c r="A144" s="52"/>
      <c r="B144" s="52"/>
      <c r="C144" s="52"/>
      <c r="D144" s="52"/>
    </row>
    <row r="145" ht="12.5" spans="1:4">
      <c r="A145" s="52"/>
      <c r="B145" s="52"/>
      <c r="C145" s="52"/>
      <c r="D145" s="52"/>
    </row>
    <row r="146" ht="12.5" spans="1:4">
      <c r="A146" s="52"/>
      <c r="B146" s="52"/>
      <c r="C146" s="52"/>
      <c r="D146" s="52"/>
    </row>
    <row r="147" ht="12.5" spans="1:4">
      <c r="A147" s="52"/>
      <c r="B147" s="52"/>
      <c r="C147" s="52"/>
      <c r="D147" s="52"/>
    </row>
    <row r="148" ht="12.5" spans="1:4">
      <c r="A148" s="52"/>
      <c r="B148" s="52"/>
      <c r="C148" s="52"/>
      <c r="D148" s="52"/>
    </row>
    <row r="149" ht="12.5" spans="1:4">
      <c r="A149" s="52"/>
      <c r="B149" s="52"/>
      <c r="C149" s="52"/>
      <c r="D149" s="52"/>
    </row>
    <row r="150" ht="12.5" spans="1:4">
      <c r="A150" s="52"/>
      <c r="B150" s="52"/>
      <c r="C150" s="52"/>
      <c r="D150" s="52"/>
    </row>
    <row r="151" ht="12.5" spans="1:4">
      <c r="A151" s="52"/>
      <c r="B151" s="52"/>
      <c r="C151" s="52"/>
      <c r="D151" s="52"/>
    </row>
    <row r="152" ht="12.5" spans="1:4">
      <c r="A152" s="52"/>
      <c r="B152" s="52"/>
      <c r="C152" s="52"/>
      <c r="D152" s="52"/>
    </row>
    <row r="153" ht="12.5" spans="1:4">
      <c r="A153" s="52"/>
      <c r="B153" s="52"/>
      <c r="C153" s="52"/>
      <c r="D153" s="52"/>
    </row>
    <row r="154" ht="12.5" spans="1:4">
      <c r="A154" s="52"/>
      <c r="B154" s="52"/>
      <c r="C154" s="52"/>
      <c r="D154" s="52"/>
    </row>
    <row r="155" ht="12.5" spans="1:4">
      <c r="A155" s="52"/>
      <c r="B155" s="52"/>
      <c r="C155" s="52"/>
      <c r="D155" s="52"/>
    </row>
    <row r="156" ht="12.5" spans="1:4">
      <c r="A156" s="52"/>
      <c r="B156" s="52"/>
      <c r="C156" s="52"/>
      <c r="D156" s="52"/>
    </row>
    <row r="157" ht="12.5" spans="1:4">
      <c r="A157" s="52"/>
      <c r="B157" s="52"/>
      <c r="C157" s="52"/>
      <c r="D157" s="52"/>
    </row>
    <row r="158" ht="12.5" spans="1:4">
      <c r="A158" s="52"/>
      <c r="B158" s="52"/>
      <c r="C158" s="52"/>
      <c r="D158" s="52"/>
    </row>
    <row r="159" ht="12.5" spans="1:4">
      <c r="A159" s="52"/>
      <c r="B159" s="52"/>
      <c r="C159" s="52"/>
      <c r="D159" s="52"/>
    </row>
    <row r="160" ht="12.5" spans="1:4">
      <c r="A160" s="52"/>
      <c r="B160" s="52"/>
      <c r="C160" s="52"/>
      <c r="D160" s="52"/>
    </row>
    <row r="161" ht="12.5" spans="1:4">
      <c r="A161" s="52"/>
      <c r="B161" s="52"/>
      <c r="C161" s="52"/>
      <c r="D161" s="52"/>
    </row>
    <row r="162" ht="12.5" spans="1:4">
      <c r="A162" s="52"/>
      <c r="B162" s="52"/>
      <c r="C162" s="52"/>
      <c r="D162" s="52"/>
    </row>
    <row r="163" ht="12.5" spans="1:4">
      <c r="A163" s="52"/>
      <c r="B163" s="52"/>
      <c r="C163" s="52"/>
      <c r="D163" s="52"/>
    </row>
    <row r="164" ht="12.5" spans="1:4">
      <c r="A164" s="52"/>
      <c r="B164" s="52"/>
      <c r="C164" s="52"/>
      <c r="D164" s="52"/>
    </row>
    <row r="165" ht="12.5" spans="1:4">
      <c r="A165" s="52"/>
      <c r="B165" s="52"/>
      <c r="C165" s="52"/>
      <c r="D165" s="52"/>
    </row>
    <row r="166" ht="12.5" spans="1:4">
      <c r="A166" s="52"/>
      <c r="B166" s="52"/>
      <c r="C166" s="52"/>
      <c r="D166" s="52"/>
    </row>
    <row r="167" ht="12.5" spans="1:4">
      <c r="A167" s="52"/>
      <c r="B167" s="52"/>
      <c r="C167" s="52"/>
      <c r="D167" s="52"/>
    </row>
    <row r="168" ht="12.5" spans="1:4">
      <c r="A168" s="52"/>
      <c r="B168" s="52"/>
      <c r="C168" s="52"/>
      <c r="D168" s="52"/>
    </row>
    <row r="169" ht="12.5" spans="1:4">
      <c r="A169" s="52"/>
      <c r="B169" s="52"/>
      <c r="C169" s="52"/>
      <c r="D169" s="52"/>
    </row>
    <row r="170" ht="12.5" spans="1:4">
      <c r="A170" s="52"/>
      <c r="B170" s="52"/>
      <c r="C170" s="52"/>
      <c r="D170" s="52"/>
    </row>
    <row r="171" ht="12.5" spans="1:4">
      <c r="A171" s="52"/>
      <c r="B171" s="52"/>
      <c r="C171" s="52"/>
      <c r="D171" s="52"/>
    </row>
    <row r="172" ht="12.5" spans="1:4">
      <c r="A172" s="52"/>
      <c r="B172" s="52"/>
      <c r="C172" s="52"/>
      <c r="D172" s="52"/>
    </row>
    <row r="173" ht="12.5" spans="1:4">
      <c r="A173" s="52"/>
      <c r="B173" s="52"/>
      <c r="C173" s="52"/>
      <c r="D173" s="52"/>
    </row>
    <row r="174" ht="12.5" spans="1:4">
      <c r="A174" s="52"/>
      <c r="B174" s="52"/>
      <c r="C174" s="52"/>
      <c r="D174" s="52"/>
    </row>
    <row r="175" ht="12.5" spans="1:4">
      <c r="A175" s="52"/>
      <c r="B175" s="52"/>
      <c r="C175" s="52"/>
      <c r="D175" s="52"/>
    </row>
    <row r="176" ht="12.5" spans="1:4">
      <c r="A176" s="52"/>
      <c r="B176" s="52"/>
      <c r="C176" s="52"/>
      <c r="D176" s="52"/>
    </row>
    <row r="177" ht="12.5" spans="1:4">
      <c r="A177" s="52"/>
      <c r="B177" s="52"/>
      <c r="C177" s="52"/>
      <c r="D177" s="52"/>
    </row>
    <row r="178" ht="12.5" spans="1:4">
      <c r="A178" s="52"/>
      <c r="B178" s="52"/>
      <c r="C178" s="52"/>
      <c r="D178" s="52"/>
    </row>
    <row r="179" ht="12.5" spans="1:4">
      <c r="A179" s="52"/>
      <c r="B179" s="52"/>
      <c r="C179" s="52"/>
      <c r="D179" s="52"/>
    </row>
    <row r="180" ht="12.5" spans="1:4">
      <c r="A180" s="52"/>
      <c r="B180" s="52"/>
      <c r="C180" s="52"/>
      <c r="D180" s="52"/>
    </row>
    <row r="181" ht="12.5" spans="1:4">
      <c r="A181" s="52"/>
      <c r="B181" s="52"/>
      <c r="C181" s="52"/>
      <c r="D181" s="52"/>
    </row>
    <row r="182" ht="12.5" spans="1:4">
      <c r="A182" s="52"/>
      <c r="B182" s="52"/>
      <c r="C182" s="52"/>
      <c r="D182" s="52"/>
    </row>
    <row r="183" ht="12.5" spans="1:4">
      <c r="A183" s="52"/>
      <c r="B183" s="52"/>
      <c r="C183" s="52"/>
      <c r="D183" s="52"/>
    </row>
    <row r="184" ht="12.5" spans="1:4">
      <c r="A184" s="52"/>
      <c r="B184" s="52"/>
      <c r="C184" s="52"/>
      <c r="D184" s="52"/>
    </row>
    <row r="185" ht="12.5" spans="1:4">
      <c r="A185" s="52"/>
      <c r="B185" s="52"/>
      <c r="C185" s="52"/>
      <c r="D185" s="52"/>
    </row>
    <row r="186" ht="12.5" spans="1:4">
      <c r="A186" s="52"/>
      <c r="B186" s="52"/>
      <c r="C186" s="52"/>
      <c r="D186" s="52"/>
    </row>
    <row r="187" ht="12.5" spans="1:4">
      <c r="A187" s="52"/>
      <c r="B187" s="52"/>
      <c r="C187" s="52"/>
      <c r="D187" s="52"/>
    </row>
    <row r="188" ht="12.5" spans="1:4">
      <c r="A188" s="52"/>
      <c r="B188" s="52"/>
      <c r="C188" s="52"/>
      <c r="D188" s="52"/>
    </row>
    <row r="189" ht="12.5" spans="1:4">
      <c r="A189" s="52"/>
      <c r="B189" s="52"/>
      <c r="C189" s="52"/>
      <c r="D189" s="52"/>
    </row>
    <row r="190" ht="12.5" spans="1:4">
      <c r="A190" s="52"/>
      <c r="B190" s="52"/>
      <c r="C190" s="52"/>
      <c r="D190" s="52"/>
    </row>
    <row r="191" ht="12.5" spans="1:4">
      <c r="A191" s="52"/>
      <c r="B191" s="52"/>
      <c r="C191" s="52"/>
      <c r="D191" s="52"/>
    </row>
    <row r="192" ht="12.5" spans="1:4">
      <c r="A192" s="52"/>
      <c r="B192" s="52"/>
      <c r="C192" s="52"/>
      <c r="D192" s="52"/>
    </row>
    <row r="193" ht="12.5" spans="1:4">
      <c r="A193" s="52"/>
      <c r="B193" s="52"/>
      <c r="C193" s="52"/>
      <c r="D193" s="52"/>
    </row>
    <row r="194" ht="12.5" spans="1:4">
      <c r="A194" s="52"/>
      <c r="B194" s="52"/>
      <c r="C194" s="52"/>
      <c r="D194" s="52"/>
    </row>
    <row r="195" ht="12.5" spans="1:4">
      <c r="A195" s="52"/>
      <c r="B195" s="52"/>
      <c r="C195" s="52"/>
      <c r="D195" s="52"/>
    </row>
    <row r="196" ht="12.5" spans="1:4">
      <c r="A196" s="52"/>
      <c r="B196" s="52"/>
      <c r="C196" s="52"/>
      <c r="D196" s="52"/>
    </row>
    <row r="197" ht="12.5" spans="1:4">
      <c r="A197" s="52"/>
      <c r="B197" s="52"/>
      <c r="C197" s="52"/>
      <c r="D197" s="52"/>
    </row>
    <row r="198" ht="12.5" spans="1:4">
      <c r="A198" s="52"/>
      <c r="B198" s="52"/>
      <c r="C198" s="52"/>
      <c r="D198" s="52"/>
    </row>
    <row r="199" ht="12.5" spans="1:4">
      <c r="A199" s="52"/>
      <c r="B199" s="52"/>
      <c r="C199" s="52"/>
      <c r="D199" s="52"/>
    </row>
    <row r="200" ht="12.5" spans="1:4">
      <c r="A200" s="52"/>
      <c r="B200" s="52"/>
      <c r="C200" s="52"/>
      <c r="D200" s="52"/>
    </row>
    <row r="201" ht="12.5" spans="1:4">
      <c r="A201" s="52"/>
      <c r="B201" s="52"/>
      <c r="C201" s="52"/>
      <c r="D201" s="52"/>
    </row>
    <row r="202" ht="12.5" spans="1:4">
      <c r="A202" s="52"/>
      <c r="B202" s="52"/>
      <c r="C202" s="52"/>
      <c r="D202" s="52"/>
    </row>
    <row r="203" ht="12.5" spans="1:4">
      <c r="A203" s="52"/>
      <c r="B203" s="52"/>
      <c r="C203" s="52"/>
      <c r="D203" s="52"/>
    </row>
    <row r="204" ht="12.5" spans="1:4">
      <c r="A204" s="52"/>
      <c r="B204" s="52"/>
      <c r="C204" s="52"/>
      <c r="D204" s="52"/>
    </row>
    <row r="205" ht="12.5" spans="1:4">
      <c r="A205" s="52"/>
      <c r="B205" s="52"/>
      <c r="C205" s="52"/>
      <c r="D205" s="52"/>
    </row>
    <row r="206" ht="12.5" spans="1:4">
      <c r="A206" s="52"/>
      <c r="B206" s="52"/>
      <c r="C206" s="52"/>
      <c r="D206" s="52"/>
    </row>
    <row r="207" ht="12.5" spans="1:4">
      <c r="A207" s="52"/>
      <c r="B207" s="52"/>
      <c r="C207" s="52"/>
      <c r="D207" s="52"/>
    </row>
    <row r="208" ht="12.5" spans="1:4">
      <c r="A208" s="52"/>
      <c r="B208" s="52"/>
      <c r="C208" s="52"/>
      <c r="D208" s="52"/>
    </row>
    <row r="209" ht="12.5" spans="1:4">
      <c r="A209" s="52"/>
      <c r="B209" s="52"/>
      <c r="C209" s="52"/>
      <c r="D209" s="52"/>
    </row>
    <row r="210" ht="12.5" spans="1:4">
      <c r="A210" s="52"/>
      <c r="B210" s="52"/>
      <c r="C210" s="52"/>
      <c r="D210" s="52"/>
    </row>
    <row r="211" ht="12.5" spans="1:4">
      <c r="A211" s="52"/>
      <c r="B211" s="52"/>
      <c r="C211" s="52"/>
      <c r="D211" s="52"/>
    </row>
    <row r="212" ht="12.5" spans="1:4">
      <c r="A212" s="52"/>
      <c r="B212" s="52"/>
      <c r="C212" s="52"/>
      <c r="D212" s="52"/>
    </row>
    <row r="213" ht="12.5" spans="1:4">
      <c r="A213" s="52"/>
      <c r="B213" s="52"/>
      <c r="C213" s="52"/>
      <c r="D213" s="52"/>
    </row>
    <row r="214" ht="12.5" spans="1:4">
      <c r="A214" s="52"/>
      <c r="B214" s="52"/>
      <c r="C214" s="52"/>
      <c r="D214" s="52"/>
    </row>
    <row r="215" ht="12.5" spans="1:4">
      <c r="A215" s="52"/>
      <c r="B215" s="52"/>
      <c r="C215" s="52"/>
      <c r="D215" s="52"/>
    </row>
    <row r="216" ht="12.5" spans="1:4">
      <c r="A216" s="52"/>
      <c r="B216" s="52"/>
      <c r="C216" s="52"/>
      <c r="D216" s="52"/>
    </row>
    <row r="217" ht="12.5" spans="1:4">
      <c r="A217" s="52"/>
      <c r="B217" s="52"/>
      <c r="C217" s="52"/>
      <c r="D217" s="52"/>
    </row>
    <row r="218" ht="12.5" spans="1:4">
      <c r="A218" s="52"/>
      <c r="B218" s="52"/>
      <c r="C218" s="52"/>
      <c r="D218" s="52"/>
    </row>
    <row r="219" ht="12.5" spans="1:4">
      <c r="A219" s="52"/>
      <c r="B219" s="52"/>
      <c r="C219" s="52"/>
      <c r="D219" s="52"/>
    </row>
    <row r="220" ht="12.5" spans="1:4">
      <c r="A220" s="52"/>
      <c r="B220" s="52"/>
      <c r="C220" s="52"/>
      <c r="D220" s="52"/>
    </row>
    <row r="221" ht="12.5" spans="1:4">
      <c r="A221" s="52"/>
      <c r="B221" s="52"/>
      <c r="C221" s="52"/>
      <c r="D221" s="52"/>
    </row>
    <row r="222" ht="12.5" spans="1:4">
      <c r="A222" s="52"/>
      <c r="B222" s="52"/>
      <c r="C222" s="52"/>
      <c r="D222" s="52"/>
    </row>
    <row r="223" ht="12.5" spans="1:4">
      <c r="A223" s="52"/>
      <c r="B223" s="52"/>
      <c r="C223" s="52"/>
      <c r="D223" s="52"/>
    </row>
    <row r="224" ht="12.5" spans="1:4">
      <c r="A224" s="52"/>
      <c r="B224" s="52"/>
      <c r="C224" s="52"/>
      <c r="D224" s="52"/>
    </row>
    <row r="225" ht="12.5" spans="1:4">
      <c r="A225" s="52"/>
      <c r="B225" s="52"/>
      <c r="C225" s="52"/>
      <c r="D225" s="52"/>
    </row>
    <row r="226" ht="12.5" spans="1:4">
      <c r="A226" s="52"/>
      <c r="B226" s="52"/>
      <c r="C226" s="52"/>
      <c r="D226" s="52"/>
    </row>
    <row r="227" ht="12.5" spans="1:4">
      <c r="A227" s="52"/>
      <c r="B227" s="52"/>
      <c r="C227" s="52"/>
      <c r="D227" s="52"/>
    </row>
    <row r="228" ht="12.5" spans="1:4">
      <c r="A228" s="52"/>
      <c r="B228" s="52"/>
      <c r="C228" s="52"/>
      <c r="D228" s="52"/>
    </row>
    <row r="229" ht="12.5" spans="1:4">
      <c r="A229" s="52"/>
      <c r="B229" s="52"/>
      <c r="C229" s="52"/>
      <c r="D229" s="52"/>
    </row>
    <row r="230" ht="12.5" spans="1:4">
      <c r="A230" s="52"/>
      <c r="B230" s="52"/>
      <c r="C230" s="52"/>
      <c r="D230" s="52"/>
    </row>
    <row r="231" ht="12.5" spans="1:4">
      <c r="A231" s="52"/>
      <c r="B231" s="52"/>
      <c r="C231" s="52"/>
      <c r="D231" s="52"/>
    </row>
    <row r="232" ht="12.5" spans="1:4">
      <c r="A232" s="52"/>
      <c r="B232" s="52"/>
      <c r="C232" s="52"/>
      <c r="D232" s="52"/>
    </row>
    <row r="233" ht="12.5" spans="1:4">
      <c r="A233" s="52"/>
      <c r="B233" s="52"/>
      <c r="C233" s="52"/>
      <c r="D233" s="52"/>
    </row>
    <row r="234" ht="12.5" spans="1:4">
      <c r="A234" s="52"/>
      <c r="B234" s="52"/>
      <c r="C234" s="52"/>
      <c r="D234" s="52"/>
    </row>
    <row r="235" ht="12.5" spans="1:4">
      <c r="A235" s="52"/>
      <c r="B235" s="52"/>
      <c r="C235" s="52"/>
      <c r="D235" s="52"/>
    </row>
    <row r="236" ht="12.5" spans="1:4">
      <c r="A236" s="52"/>
      <c r="B236" s="52"/>
      <c r="C236" s="52"/>
      <c r="D236" s="52"/>
    </row>
    <row r="237" ht="12.5" spans="1:4">
      <c r="A237" s="52"/>
      <c r="B237" s="52"/>
      <c r="C237" s="52"/>
      <c r="D237" s="52"/>
    </row>
    <row r="238" ht="12.5" spans="1:4">
      <c r="A238" s="52"/>
      <c r="B238" s="52"/>
      <c r="C238" s="52"/>
      <c r="D238" s="52"/>
    </row>
    <row r="239" ht="12.5" spans="1:4">
      <c r="A239" s="52"/>
      <c r="B239" s="52"/>
      <c r="C239" s="52"/>
      <c r="D239" s="52"/>
    </row>
    <row r="240" ht="12.5" spans="1:4">
      <c r="A240" s="52"/>
      <c r="B240" s="52"/>
      <c r="C240" s="52"/>
      <c r="D240" s="52"/>
    </row>
    <row r="241" ht="12.5" spans="1:4">
      <c r="A241" s="52"/>
      <c r="B241" s="52"/>
      <c r="C241" s="52"/>
      <c r="D241" s="52"/>
    </row>
    <row r="242" ht="12.5" spans="1:4">
      <c r="A242" s="52"/>
      <c r="B242" s="52"/>
      <c r="C242" s="52"/>
      <c r="D242" s="52"/>
    </row>
    <row r="243" ht="12.5" spans="1:4">
      <c r="A243" s="52"/>
      <c r="B243" s="52"/>
      <c r="C243" s="52"/>
      <c r="D243" s="52"/>
    </row>
    <row r="244" ht="12.5" spans="1:4">
      <c r="A244" s="52"/>
      <c r="B244" s="52"/>
      <c r="C244" s="52"/>
      <c r="D244" s="52"/>
    </row>
    <row r="245" ht="12.5" spans="1:4">
      <c r="A245" s="52"/>
      <c r="B245" s="52"/>
      <c r="C245" s="52"/>
      <c r="D245" s="52"/>
    </row>
    <row r="246" ht="12.5" spans="1:4">
      <c r="A246" s="52"/>
      <c r="B246" s="52"/>
      <c r="C246" s="52"/>
      <c r="D246" s="52"/>
    </row>
    <row r="247" ht="12.5" spans="1:4">
      <c r="A247" s="52"/>
      <c r="B247" s="52"/>
      <c r="C247" s="52"/>
      <c r="D247" s="52"/>
    </row>
    <row r="248" ht="12.5" spans="1:4">
      <c r="A248" s="52"/>
      <c r="B248" s="52"/>
      <c r="C248" s="52"/>
      <c r="D248" s="52"/>
    </row>
    <row r="249" ht="12.5" spans="1:4">
      <c r="A249" s="52"/>
      <c r="B249" s="52"/>
      <c r="C249" s="52"/>
      <c r="D249" s="52"/>
    </row>
    <row r="250" ht="12.5" spans="1:4">
      <c r="A250" s="52"/>
      <c r="B250" s="52"/>
      <c r="C250" s="52"/>
      <c r="D250" s="52"/>
    </row>
    <row r="251" ht="12.5" spans="1:4">
      <c r="A251" s="52"/>
      <c r="B251" s="52"/>
      <c r="C251" s="52"/>
      <c r="D251" s="52"/>
    </row>
    <row r="252" ht="12.5" spans="1:4">
      <c r="A252" s="52"/>
      <c r="B252" s="52"/>
      <c r="C252" s="52"/>
      <c r="D252" s="52"/>
    </row>
    <row r="253" ht="12.5" spans="1:4">
      <c r="A253" s="52"/>
      <c r="B253" s="52"/>
      <c r="C253" s="52"/>
      <c r="D253" s="52"/>
    </row>
    <row r="254" ht="12.5" spans="1:4">
      <c r="A254" s="52"/>
      <c r="B254" s="52"/>
      <c r="C254" s="52"/>
      <c r="D254" s="52"/>
    </row>
    <row r="255" ht="12.5" spans="1:4">
      <c r="A255" s="52"/>
      <c r="B255" s="52"/>
      <c r="C255" s="52"/>
      <c r="D255" s="52"/>
    </row>
    <row r="256" ht="12.5" spans="1:4">
      <c r="A256" s="52"/>
      <c r="B256" s="52"/>
      <c r="C256" s="52"/>
      <c r="D256" s="52"/>
    </row>
    <row r="257" ht="12.5" spans="1:4">
      <c r="A257" s="52"/>
      <c r="B257" s="52"/>
      <c r="C257" s="52"/>
      <c r="D257" s="52"/>
    </row>
    <row r="258" ht="12.5" spans="1:4">
      <c r="A258" s="52"/>
      <c r="B258" s="52"/>
      <c r="C258" s="52"/>
      <c r="D258" s="52"/>
    </row>
    <row r="259" ht="12.5" spans="1:4">
      <c r="A259" s="52"/>
      <c r="B259" s="52"/>
      <c r="C259" s="52"/>
      <c r="D259" s="52"/>
    </row>
    <row r="260" ht="12.5" spans="1:4">
      <c r="A260" s="52"/>
      <c r="B260" s="52"/>
      <c r="C260" s="52"/>
      <c r="D260" s="52"/>
    </row>
    <row r="261" ht="12.5" spans="1:4">
      <c r="A261" s="52"/>
      <c r="B261" s="52"/>
      <c r="C261" s="52"/>
      <c r="D261" s="52"/>
    </row>
    <row r="262" ht="12.5" spans="1:4">
      <c r="A262" s="52"/>
      <c r="B262" s="52"/>
      <c r="C262" s="52"/>
      <c r="D262" s="52"/>
    </row>
    <row r="263" ht="12.5" spans="1:4">
      <c r="A263" s="52"/>
      <c r="B263" s="52"/>
      <c r="C263" s="52"/>
      <c r="D263" s="52"/>
    </row>
    <row r="264" ht="12.5" spans="1:4">
      <c r="A264" s="52"/>
      <c r="B264" s="52"/>
      <c r="C264" s="52"/>
      <c r="D264" s="52"/>
    </row>
    <row r="265" ht="12.5" spans="1:4">
      <c r="A265" s="52"/>
      <c r="B265" s="52"/>
      <c r="C265" s="52"/>
      <c r="D265" s="52"/>
    </row>
    <row r="266" ht="12.5" spans="1:4">
      <c r="A266" s="52"/>
      <c r="B266" s="52"/>
      <c r="C266" s="52"/>
      <c r="D266" s="52"/>
    </row>
    <row r="267" ht="12.5" spans="1:4">
      <c r="A267" s="52"/>
      <c r="B267" s="52"/>
      <c r="C267" s="52"/>
      <c r="D267" s="52"/>
    </row>
    <row r="268" ht="12.5" spans="1:4">
      <c r="A268" s="52"/>
      <c r="B268" s="52"/>
      <c r="C268" s="52"/>
      <c r="D268" s="52"/>
    </row>
    <row r="269" ht="12.5" spans="1:4">
      <c r="A269" s="52"/>
      <c r="B269" s="52"/>
      <c r="C269" s="52"/>
      <c r="D269" s="52"/>
    </row>
    <row r="270" ht="12.5" spans="1:4">
      <c r="A270" s="52"/>
      <c r="B270" s="52"/>
      <c r="C270" s="52"/>
      <c r="D270" s="52"/>
    </row>
    <row r="271" ht="12.5" spans="1:4">
      <c r="A271" s="52"/>
      <c r="B271" s="52"/>
      <c r="C271" s="52"/>
      <c r="D271" s="52"/>
    </row>
    <row r="272" ht="12.5" spans="1:4">
      <c r="A272" s="52"/>
      <c r="B272" s="52"/>
      <c r="C272" s="52"/>
      <c r="D272" s="52"/>
    </row>
    <row r="273" ht="12.5" spans="1:4">
      <c r="A273" s="52"/>
      <c r="B273" s="52"/>
      <c r="C273" s="52"/>
      <c r="D273" s="52"/>
    </row>
    <row r="274" ht="12.5" spans="1:4">
      <c r="A274" s="52"/>
      <c r="B274" s="52"/>
      <c r="C274" s="52"/>
      <c r="D274" s="52"/>
    </row>
    <row r="275" ht="12.5" spans="1:4">
      <c r="A275" s="52"/>
      <c r="B275" s="52"/>
      <c r="C275" s="52"/>
      <c r="D275" s="52"/>
    </row>
    <row r="276" ht="12.5" spans="1:4">
      <c r="A276" s="52"/>
      <c r="B276" s="52"/>
      <c r="C276" s="52"/>
      <c r="D276" s="52"/>
    </row>
    <row r="277" ht="12.5" spans="1:4">
      <c r="A277" s="52"/>
      <c r="B277" s="52"/>
      <c r="C277" s="52"/>
      <c r="D277" s="52"/>
    </row>
    <row r="278" ht="12.5" spans="1:4">
      <c r="A278" s="52"/>
      <c r="B278" s="52"/>
      <c r="C278" s="52"/>
      <c r="D278" s="52"/>
    </row>
    <row r="279" ht="12.5" spans="1:4">
      <c r="A279" s="52"/>
      <c r="B279" s="52"/>
      <c r="C279" s="52"/>
      <c r="D279" s="52"/>
    </row>
    <row r="280" ht="12.5" spans="1:4">
      <c r="A280" s="52"/>
      <c r="B280" s="52"/>
      <c r="C280" s="52"/>
      <c r="D280" s="52"/>
    </row>
    <row r="281" ht="12.5" spans="1:4">
      <c r="A281" s="52"/>
      <c r="B281" s="52"/>
      <c r="C281" s="52"/>
      <c r="D281" s="52"/>
    </row>
    <row r="282" ht="12.5" spans="1:4">
      <c r="A282" s="52"/>
      <c r="B282" s="52"/>
      <c r="C282" s="52"/>
      <c r="D282" s="52"/>
    </row>
    <row r="283" ht="12.5" spans="1:4">
      <c r="A283" s="52"/>
      <c r="B283" s="52"/>
      <c r="C283" s="52"/>
      <c r="D283" s="52"/>
    </row>
    <row r="284" ht="12.5" spans="1:4">
      <c r="A284" s="52"/>
      <c r="B284" s="52"/>
      <c r="C284" s="52"/>
      <c r="D284" s="52"/>
    </row>
    <row r="285" ht="12.5" spans="1:4">
      <c r="A285" s="52"/>
      <c r="B285" s="52"/>
      <c r="C285" s="52"/>
      <c r="D285" s="52"/>
    </row>
    <row r="286" ht="12.5" spans="1:4">
      <c r="A286" s="52"/>
      <c r="B286" s="52"/>
      <c r="C286" s="52"/>
      <c r="D286" s="52"/>
    </row>
    <row r="287" ht="12.5" spans="1:4">
      <c r="A287" s="52"/>
      <c r="B287" s="52"/>
      <c r="C287" s="52"/>
      <c r="D287" s="52"/>
    </row>
    <row r="288" ht="12.5" spans="1:4">
      <c r="A288" s="52"/>
      <c r="B288" s="52"/>
      <c r="C288" s="52"/>
      <c r="D288" s="52"/>
    </row>
    <row r="289" ht="12.5" spans="1:4">
      <c r="A289" s="52"/>
      <c r="B289" s="52"/>
      <c r="C289" s="52"/>
      <c r="D289" s="52"/>
    </row>
    <row r="290" ht="12.5" spans="1:4">
      <c r="A290" s="52"/>
      <c r="B290" s="52"/>
      <c r="C290" s="52"/>
      <c r="D290" s="52"/>
    </row>
    <row r="291" ht="12.5" spans="1:4">
      <c r="A291" s="52"/>
      <c r="B291" s="52"/>
      <c r="C291" s="52"/>
      <c r="D291" s="52"/>
    </row>
    <row r="292" ht="12.5" spans="1:4">
      <c r="A292" s="52"/>
      <c r="B292" s="52"/>
      <c r="C292" s="52"/>
      <c r="D292" s="52"/>
    </row>
    <row r="293" ht="12.5" spans="1:4">
      <c r="A293" s="52"/>
      <c r="B293" s="52"/>
      <c r="C293" s="52"/>
      <c r="D293" s="52"/>
    </row>
    <row r="294" ht="12.5" spans="1:4">
      <c r="A294" s="52"/>
      <c r="B294" s="52"/>
      <c r="C294" s="52"/>
      <c r="D294" s="52"/>
    </row>
    <row r="295" ht="12.5" spans="1:4">
      <c r="A295" s="52"/>
      <c r="B295" s="52"/>
      <c r="C295" s="52"/>
      <c r="D295" s="52"/>
    </row>
    <row r="296" ht="12.5" spans="1:4">
      <c r="A296" s="52"/>
      <c r="B296" s="52"/>
      <c r="C296" s="52"/>
      <c r="D296" s="52"/>
    </row>
    <row r="297" ht="12.5" spans="1:4">
      <c r="A297" s="52"/>
      <c r="B297" s="52"/>
      <c r="C297" s="52"/>
      <c r="D297" s="52"/>
    </row>
    <row r="298" ht="12.5" spans="1:4">
      <c r="A298" s="52"/>
      <c r="B298" s="52"/>
      <c r="C298" s="52"/>
      <c r="D298" s="52"/>
    </row>
    <row r="299" ht="12.5" spans="1:4">
      <c r="A299" s="52"/>
      <c r="B299" s="52"/>
      <c r="C299" s="52"/>
      <c r="D299" s="52"/>
    </row>
    <row r="300" ht="12.5" spans="1:4">
      <c r="A300" s="52"/>
      <c r="B300" s="52"/>
      <c r="C300" s="52"/>
      <c r="D300" s="52"/>
    </row>
    <row r="301" ht="12.5" spans="1:4">
      <c r="A301" s="52"/>
      <c r="B301" s="52"/>
      <c r="C301" s="52"/>
      <c r="D301" s="52"/>
    </row>
    <row r="302" ht="12.5" spans="1:4">
      <c r="A302" s="52"/>
      <c r="B302" s="52"/>
      <c r="C302" s="52"/>
      <c r="D302" s="52"/>
    </row>
    <row r="303" ht="12.5" spans="1:4">
      <c r="A303" s="52"/>
      <c r="B303" s="52"/>
      <c r="C303" s="52"/>
      <c r="D303" s="52"/>
    </row>
    <row r="304" ht="12.5" spans="1:4">
      <c r="A304" s="52"/>
      <c r="B304" s="52"/>
      <c r="C304" s="52"/>
      <c r="D304" s="52"/>
    </row>
    <row r="305" ht="12.5" spans="1:4">
      <c r="A305" s="52"/>
      <c r="B305" s="52"/>
      <c r="C305" s="52"/>
      <c r="D305" s="52"/>
    </row>
    <row r="306" ht="12.5" spans="1:4">
      <c r="A306" s="52"/>
      <c r="B306" s="52"/>
      <c r="C306" s="52"/>
      <c r="D306" s="52"/>
    </row>
    <row r="307" ht="12.5" spans="1:4">
      <c r="A307" s="52"/>
      <c r="B307" s="52"/>
      <c r="C307" s="52"/>
      <c r="D307" s="52"/>
    </row>
    <row r="308" ht="12.5" spans="1:4">
      <c r="A308" s="52"/>
      <c r="B308" s="52"/>
      <c r="C308" s="52"/>
      <c r="D308" s="52"/>
    </row>
    <row r="309" ht="12.5" spans="1:4">
      <c r="A309" s="52"/>
      <c r="B309" s="52"/>
      <c r="C309" s="52"/>
      <c r="D309" s="52"/>
    </row>
    <row r="310" ht="12.5" spans="1:4">
      <c r="A310" s="52"/>
      <c r="B310" s="52"/>
      <c r="C310" s="52"/>
      <c r="D310" s="52"/>
    </row>
    <row r="311" ht="12.5" spans="1:4">
      <c r="A311" s="52"/>
      <c r="B311" s="52"/>
      <c r="C311" s="52"/>
      <c r="D311" s="52"/>
    </row>
    <row r="312" ht="12.5" spans="1:4">
      <c r="A312" s="52"/>
      <c r="B312" s="52"/>
      <c r="C312" s="52"/>
      <c r="D312" s="52"/>
    </row>
    <row r="313" ht="12.5" spans="1:4">
      <c r="A313" s="52"/>
      <c r="B313" s="52"/>
      <c r="C313" s="52"/>
      <c r="D313" s="52"/>
    </row>
    <row r="314" ht="12.5" spans="1:4">
      <c r="A314" s="52"/>
      <c r="B314" s="52"/>
      <c r="C314" s="52"/>
      <c r="D314" s="52"/>
    </row>
    <row r="315" ht="12.5" spans="1:4">
      <c r="A315" s="52"/>
      <c r="B315" s="52"/>
      <c r="C315" s="52"/>
      <c r="D315" s="52"/>
    </row>
    <row r="316" ht="12.5" spans="1:4">
      <c r="A316" s="52"/>
      <c r="B316" s="52"/>
      <c r="C316" s="52"/>
      <c r="D316" s="52"/>
    </row>
    <row r="317" ht="12.5" spans="1:4">
      <c r="A317" s="52"/>
      <c r="B317" s="52"/>
      <c r="C317" s="52"/>
      <c r="D317" s="52"/>
    </row>
    <row r="318" ht="12.5" spans="1:4">
      <c r="A318" s="52"/>
      <c r="B318" s="52"/>
      <c r="C318" s="52"/>
      <c r="D318" s="52"/>
    </row>
    <row r="319" ht="12.5" spans="1:4">
      <c r="A319" s="52"/>
      <c r="B319" s="52"/>
      <c r="C319" s="52"/>
      <c r="D319" s="52"/>
    </row>
    <row r="320" ht="12.5" spans="1:4">
      <c r="A320" s="52"/>
      <c r="B320" s="52"/>
      <c r="C320" s="52"/>
      <c r="D320" s="52"/>
    </row>
    <row r="321" ht="12.5" spans="1:4">
      <c r="A321" s="52"/>
      <c r="B321" s="52"/>
      <c r="C321" s="52"/>
      <c r="D321" s="52"/>
    </row>
    <row r="322" ht="12.5" spans="1:4">
      <c r="A322" s="52"/>
      <c r="B322" s="52"/>
      <c r="C322" s="52"/>
      <c r="D322" s="52"/>
    </row>
    <row r="323" ht="12.5" spans="1:4">
      <c r="A323" s="52"/>
      <c r="B323" s="52"/>
      <c r="C323" s="52"/>
      <c r="D323" s="52"/>
    </row>
    <row r="324" ht="12.5" spans="1:4">
      <c r="A324" s="52"/>
      <c r="B324" s="52"/>
      <c r="C324" s="52"/>
      <c r="D324" s="52"/>
    </row>
    <row r="325" ht="12.5" spans="1:4">
      <c r="A325" s="52"/>
      <c r="B325" s="52"/>
      <c r="C325" s="52"/>
      <c r="D325" s="52"/>
    </row>
    <row r="326" ht="12.5" spans="1:4">
      <c r="A326" s="52"/>
      <c r="B326" s="52"/>
      <c r="C326" s="52"/>
      <c r="D326" s="52"/>
    </row>
    <row r="327" ht="12.5" spans="1:4">
      <c r="A327" s="52"/>
      <c r="B327" s="52"/>
      <c r="C327" s="52"/>
      <c r="D327" s="52"/>
    </row>
    <row r="328" ht="12.5" spans="1:4">
      <c r="A328" s="52"/>
      <c r="B328" s="52"/>
      <c r="C328" s="52"/>
      <c r="D328" s="52"/>
    </row>
    <row r="329" ht="12.5" spans="1:4">
      <c r="A329" s="52"/>
      <c r="B329" s="52"/>
      <c r="C329" s="52"/>
      <c r="D329" s="52"/>
    </row>
    <row r="330" ht="12.5" spans="1:4">
      <c r="A330" s="52"/>
      <c r="B330" s="52"/>
      <c r="C330" s="52"/>
      <c r="D330" s="52"/>
    </row>
    <row r="331" ht="12.5" spans="1:4">
      <c r="A331" s="52"/>
      <c r="B331" s="52"/>
      <c r="C331" s="52"/>
      <c r="D331" s="52"/>
    </row>
    <row r="332" ht="12.5" spans="1:4">
      <c r="A332" s="52"/>
      <c r="B332" s="52"/>
      <c r="C332" s="52"/>
      <c r="D332" s="52"/>
    </row>
    <row r="333" ht="12.5" spans="1:4">
      <c r="A333" s="52"/>
      <c r="B333" s="52"/>
      <c r="C333" s="52"/>
      <c r="D333" s="52"/>
    </row>
    <row r="334" ht="12.5" spans="1:4">
      <c r="A334" s="52"/>
      <c r="B334" s="52"/>
      <c r="C334" s="52"/>
      <c r="D334" s="52"/>
    </row>
    <row r="335" ht="12.5" spans="1:4">
      <c r="A335" s="52"/>
      <c r="B335" s="52"/>
      <c r="C335" s="52"/>
      <c r="D335" s="52"/>
    </row>
    <row r="336" ht="12.5" spans="1:4">
      <c r="A336" s="52"/>
      <c r="B336" s="52"/>
      <c r="C336" s="52"/>
      <c r="D336" s="52"/>
    </row>
    <row r="337" ht="12.5" spans="1:4">
      <c r="A337" s="52"/>
      <c r="B337" s="52"/>
      <c r="C337" s="52"/>
      <c r="D337" s="52"/>
    </row>
    <row r="338" ht="12.5" spans="1:4">
      <c r="A338" s="52"/>
      <c r="B338" s="52"/>
      <c r="C338" s="52"/>
      <c r="D338" s="52"/>
    </row>
    <row r="339" ht="12.5" spans="1:4">
      <c r="A339" s="52"/>
      <c r="B339" s="52"/>
      <c r="C339" s="52"/>
      <c r="D339" s="52"/>
    </row>
    <row r="340" ht="12.5" spans="1:4">
      <c r="A340" s="52"/>
      <c r="B340" s="52"/>
      <c r="C340" s="52"/>
      <c r="D340" s="52"/>
    </row>
    <row r="341" ht="12.5" spans="1:4">
      <c r="A341" s="52"/>
      <c r="B341" s="52"/>
      <c r="C341" s="52"/>
      <c r="D341" s="52"/>
    </row>
    <row r="342" ht="12.5" spans="1:4">
      <c r="A342" s="52"/>
      <c r="B342" s="52"/>
      <c r="C342" s="52"/>
      <c r="D342" s="52"/>
    </row>
    <row r="343" ht="12.5" spans="1:4">
      <c r="A343" s="52"/>
      <c r="B343" s="52"/>
      <c r="C343" s="52"/>
      <c r="D343" s="52"/>
    </row>
    <row r="344" ht="12.5" spans="1:4">
      <c r="A344" s="52"/>
      <c r="B344" s="52"/>
      <c r="C344" s="52"/>
      <c r="D344" s="52"/>
    </row>
    <row r="345" ht="12.5" spans="1:4">
      <c r="A345" s="52"/>
      <c r="B345" s="52"/>
      <c r="C345" s="52"/>
      <c r="D345" s="52"/>
    </row>
    <row r="346" ht="12.5" spans="1:4">
      <c r="A346" s="52"/>
      <c r="B346" s="52"/>
      <c r="C346" s="52"/>
      <c r="D346" s="52"/>
    </row>
    <row r="347" ht="12.5" spans="1:4">
      <c r="A347" s="52"/>
      <c r="B347" s="52"/>
      <c r="C347" s="52"/>
      <c r="D347" s="52"/>
    </row>
    <row r="348" ht="12.5" spans="1:4">
      <c r="A348" s="52"/>
      <c r="B348" s="52"/>
      <c r="C348" s="52"/>
      <c r="D348" s="52"/>
    </row>
    <row r="349" ht="12.5" spans="1:4">
      <c r="A349" s="52"/>
      <c r="B349" s="52"/>
      <c r="C349" s="52"/>
      <c r="D349" s="52"/>
    </row>
    <row r="350" ht="12.5" spans="1:4">
      <c r="A350" s="52"/>
      <c r="B350" s="52"/>
      <c r="C350" s="52"/>
      <c r="D350" s="52"/>
    </row>
    <row r="351" ht="12.5" spans="1:4">
      <c r="A351" s="52"/>
      <c r="B351" s="52"/>
      <c r="C351" s="52"/>
      <c r="D351" s="52"/>
    </row>
    <row r="352" ht="12.5" spans="1:4">
      <c r="A352" s="52"/>
      <c r="B352" s="52"/>
      <c r="C352" s="52"/>
      <c r="D352" s="52"/>
    </row>
    <row r="353" ht="12.5" spans="1:4">
      <c r="A353" s="52"/>
      <c r="B353" s="52"/>
      <c r="C353" s="52"/>
      <c r="D353" s="52"/>
    </row>
    <row r="354" ht="12.5" spans="1:4">
      <c r="A354" s="52"/>
      <c r="B354" s="52"/>
      <c r="C354" s="52"/>
      <c r="D354" s="52"/>
    </row>
    <row r="355" ht="12.5" spans="1:4">
      <c r="A355" s="52"/>
      <c r="B355" s="52"/>
      <c r="C355" s="52"/>
      <c r="D355" s="52"/>
    </row>
    <row r="356" ht="12.5" spans="1:4">
      <c r="A356" s="52"/>
      <c r="B356" s="52"/>
      <c r="C356" s="52"/>
      <c r="D356" s="52"/>
    </row>
    <row r="357" ht="12.5" spans="1:4">
      <c r="A357" s="52"/>
      <c r="B357" s="52"/>
      <c r="C357" s="52"/>
      <c r="D357" s="52"/>
    </row>
    <row r="358" ht="12.5" spans="1:4">
      <c r="A358" s="52"/>
      <c r="B358" s="52"/>
      <c r="C358" s="52"/>
      <c r="D358" s="52"/>
    </row>
    <row r="359" ht="12.5" spans="1:4">
      <c r="A359" s="52"/>
      <c r="B359" s="52"/>
      <c r="C359" s="52"/>
      <c r="D359" s="52"/>
    </row>
    <row r="360" ht="12.5" spans="1:4">
      <c r="A360" s="52"/>
      <c r="B360" s="52"/>
      <c r="C360" s="52"/>
      <c r="D360" s="52"/>
    </row>
    <row r="361" ht="12.5" spans="1:4">
      <c r="A361" s="52"/>
      <c r="B361" s="52"/>
      <c r="C361" s="52"/>
      <c r="D361" s="52"/>
    </row>
    <row r="362" ht="12.5" spans="1:4">
      <c r="A362" s="52"/>
      <c r="B362" s="52"/>
      <c r="C362" s="52"/>
      <c r="D362" s="52"/>
    </row>
    <row r="363" ht="12.5" spans="1:4">
      <c r="A363" s="52"/>
      <c r="B363" s="52"/>
      <c r="C363" s="52"/>
      <c r="D363" s="52"/>
    </row>
    <row r="364" ht="12.5" spans="1:4">
      <c r="A364" s="52"/>
      <c r="B364" s="52"/>
      <c r="C364" s="52"/>
      <c r="D364" s="52"/>
    </row>
    <row r="365" ht="12.5" spans="1:4">
      <c r="A365" s="52"/>
      <c r="B365" s="52"/>
      <c r="C365" s="52"/>
      <c r="D365" s="52"/>
    </row>
    <row r="366" ht="12.5" spans="1:4">
      <c r="A366" s="52"/>
      <c r="B366" s="52"/>
      <c r="C366" s="52"/>
      <c r="D366" s="52"/>
    </row>
    <row r="367" ht="12.5" spans="1:4">
      <c r="A367" s="52"/>
      <c r="B367" s="52"/>
      <c r="C367" s="52"/>
      <c r="D367" s="52"/>
    </row>
    <row r="368" ht="12.5" spans="1:4">
      <c r="A368" s="52"/>
      <c r="B368" s="52"/>
      <c r="C368" s="52"/>
      <c r="D368" s="52"/>
    </row>
    <row r="369" ht="12.5" spans="1:4">
      <c r="A369" s="52"/>
      <c r="B369" s="52"/>
      <c r="C369" s="52"/>
      <c r="D369" s="52"/>
    </row>
    <row r="370" ht="12.5" spans="1:4">
      <c r="A370" s="52"/>
      <c r="B370" s="52"/>
      <c r="C370" s="52"/>
      <c r="D370" s="52"/>
    </row>
    <row r="371" ht="12.5" spans="1:4">
      <c r="A371" s="52"/>
      <c r="B371" s="52"/>
      <c r="C371" s="52"/>
      <c r="D371" s="52"/>
    </row>
    <row r="372" ht="12.5" spans="1:4">
      <c r="A372" s="52"/>
      <c r="B372" s="52"/>
      <c r="C372" s="52"/>
      <c r="D372" s="52"/>
    </row>
    <row r="373" ht="12.5" spans="1:4">
      <c r="A373" s="52"/>
      <c r="B373" s="52"/>
      <c r="C373" s="52"/>
      <c r="D373" s="52"/>
    </row>
    <row r="374" ht="12.5" spans="1:4">
      <c r="A374" s="52"/>
      <c r="B374" s="52"/>
      <c r="C374" s="52"/>
      <c r="D374" s="52"/>
    </row>
    <row r="375" ht="12.5" spans="1:4">
      <c r="A375" s="52"/>
      <c r="B375" s="52"/>
      <c r="C375" s="52"/>
      <c r="D375" s="52"/>
    </row>
    <row r="376" ht="12.5" spans="1:4">
      <c r="A376" s="52"/>
      <c r="B376" s="52"/>
      <c r="C376" s="52"/>
      <c r="D376" s="52"/>
    </row>
    <row r="377" ht="12.5" spans="1:4">
      <c r="A377" s="52"/>
      <c r="B377" s="52"/>
      <c r="C377" s="52"/>
      <c r="D377" s="52"/>
    </row>
    <row r="378" ht="12.5" spans="1:4">
      <c r="A378" s="52"/>
      <c r="B378" s="52"/>
      <c r="C378" s="52"/>
      <c r="D378" s="52"/>
    </row>
    <row r="379" ht="12.5" spans="1:4">
      <c r="A379" s="52"/>
      <c r="B379" s="52"/>
      <c r="C379" s="52"/>
      <c r="D379" s="52"/>
    </row>
    <row r="380" ht="12.5" spans="1:4">
      <c r="A380" s="52"/>
      <c r="B380" s="52"/>
      <c r="C380" s="52"/>
      <c r="D380" s="52"/>
    </row>
    <row r="381" ht="12.5" spans="1:4">
      <c r="A381" s="52"/>
      <c r="B381" s="52"/>
      <c r="C381" s="52"/>
      <c r="D381" s="52"/>
    </row>
    <row r="382" ht="12.5" spans="1:4">
      <c r="A382" s="52"/>
      <c r="B382" s="52"/>
      <c r="C382" s="52"/>
      <c r="D382" s="52"/>
    </row>
    <row r="383" ht="12.5" spans="1:4">
      <c r="A383" s="52"/>
      <c r="B383" s="52"/>
      <c r="C383" s="52"/>
      <c r="D383" s="52"/>
    </row>
    <row r="384" ht="12.5" spans="1:4">
      <c r="A384" s="52"/>
      <c r="B384" s="52"/>
      <c r="C384" s="52"/>
      <c r="D384" s="52"/>
    </row>
    <row r="385" ht="12.5" spans="1:4">
      <c r="A385" s="52"/>
      <c r="B385" s="52"/>
      <c r="C385" s="52"/>
      <c r="D385" s="52"/>
    </row>
    <row r="386" ht="12.5" spans="1:4">
      <c r="A386" s="52"/>
      <c r="B386" s="52"/>
      <c r="C386" s="52"/>
      <c r="D386" s="52"/>
    </row>
    <row r="387" ht="12.5" spans="1:4">
      <c r="A387" s="52"/>
      <c r="B387" s="52"/>
      <c r="C387" s="52"/>
      <c r="D387" s="52"/>
    </row>
    <row r="388" ht="12.5" spans="1:4">
      <c r="A388" s="52"/>
      <c r="B388" s="52"/>
      <c r="C388" s="52"/>
      <c r="D388" s="52"/>
    </row>
    <row r="389" ht="12.5" spans="1:4">
      <c r="A389" s="52"/>
      <c r="B389" s="52"/>
      <c r="C389" s="52"/>
      <c r="D389" s="52"/>
    </row>
    <row r="390" ht="12.5" spans="1:4">
      <c r="A390" s="52"/>
      <c r="B390" s="52"/>
      <c r="C390" s="52"/>
      <c r="D390" s="52"/>
    </row>
    <row r="391" ht="12.5" spans="1:4">
      <c r="A391" s="52"/>
      <c r="B391" s="52"/>
      <c r="C391" s="52"/>
      <c r="D391" s="52"/>
    </row>
    <row r="392" ht="12.5" spans="1:4">
      <c r="A392" s="52"/>
      <c r="B392" s="52"/>
      <c r="C392" s="52"/>
      <c r="D392" s="52"/>
    </row>
    <row r="393" ht="12.5" spans="1:4">
      <c r="A393" s="52"/>
      <c r="B393" s="52"/>
      <c r="C393" s="52"/>
      <c r="D393" s="52"/>
    </row>
    <row r="394" ht="12.5" spans="1:4">
      <c r="A394" s="52"/>
      <c r="B394" s="52"/>
      <c r="C394" s="52"/>
      <c r="D394" s="52"/>
    </row>
    <row r="395" ht="12.5" spans="1:4">
      <c r="A395" s="52"/>
      <c r="B395" s="52"/>
      <c r="C395" s="52"/>
      <c r="D395" s="52"/>
    </row>
    <row r="396" ht="12.5" spans="1:4">
      <c r="A396" s="52"/>
      <c r="B396" s="52"/>
      <c r="C396" s="52"/>
      <c r="D396" s="52"/>
    </row>
    <row r="397" ht="12.5" spans="1:4">
      <c r="A397" s="52"/>
      <c r="B397" s="52"/>
      <c r="C397" s="52"/>
      <c r="D397" s="52"/>
    </row>
    <row r="398" ht="12.5" spans="1:4">
      <c r="A398" s="52"/>
      <c r="B398" s="52"/>
      <c r="C398" s="52"/>
      <c r="D398" s="52"/>
    </row>
    <row r="399" ht="12.5" spans="1:4">
      <c r="A399" s="52"/>
      <c r="B399" s="52"/>
      <c r="C399" s="52"/>
      <c r="D399" s="52"/>
    </row>
    <row r="400" ht="12.5" spans="1:4">
      <c r="A400" s="52"/>
      <c r="B400" s="52"/>
      <c r="C400" s="52"/>
      <c r="D400" s="52"/>
    </row>
    <row r="401" ht="12.5" spans="1:4">
      <c r="A401" s="52"/>
      <c r="B401" s="52"/>
      <c r="C401" s="52"/>
      <c r="D401" s="52"/>
    </row>
    <row r="402" ht="12.5" spans="1:4">
      <c r="A402" s="52"/>
      <c r="B402" s="52"/>
      <c r="C402" s="52"/>
      <c r="D402" s="52"/>
    </row>
    <row r="403" ht="12.5" spans="1:4">
      <c r="A403" s="52"/>
      <c r="B403" s="52"/>
      <c r="C403" s="52"/>
      <c r="D403" s="52"/>
    </row>
    <row r="404" ht="12.5" spans="1:4">
      <c r="A404" s="52"/>
      <c r="B404" s="52"/>
      <c r="C404" s="52"/>
      <c r="D404" s="52"/>
    </row>
    <row r="405" ht="12.5" spans="1:4">
      <c r="A405" s="52"/>
      <c r="B405" s="52"/>
      <c r="C405" s="52"/>
      <c r="D405" s="52"/>
    </row>
    <row r="406" ht="12.5" spans="1:4">
      <c r="A406" s="52"/>
      <c r="B406" s="52"/>
      <c r="C406" s="52"/>
      <c r="D406" s="52"/>
    </row>
    <row r="407" ht="12.5" spans="1:4">
      <c r="A407" s="52"/>
      <c r="B407" s="52"/>
      <c r="C407" s="52"/>
      <c r="D407" s="52"/>
    </row>
    <row r="408" ht="12.5" spans="1:4">
      <c r="A408" s="52"/>
      <c r="B408" s="52"/>
      <c r="C408" s="52"/>
      <c r="D408" s="52"/>
    </row>
    <row r="409" ht="12.5" spans="1:4">
      <c r="A409" s="52"/>
      <c r="B409" s="52"/>
      <c r="C409" s="52"/>
      <c r="D409" s="52"/>
    </row>
    <row r="410" ht="12.5" spans="1:4">
      <c r="A410" s="52"/>
      <c r="B410" s="52"/>
      <c r="C410" s="52"/>
      <c r="D410" s="52"/>
    </row>
    <row r="411" ht="12.5" spans="1:4">
      <c r="A411" s="52"/>
      <c r="B411" s="52"/>
      <c r="C411" s="52"/>
      <c r="D411" s="52"/>
    </row>
    <row r="412" ht="12.5" spans="1:4">
      <c r="A412" s="52"/>
      <c r="B412" s="52"/>
      <c r="C412" s="52"/>
      <c r="D412" s="52"/>
    </row>
    <row r="413" ht="12.5" spans="1:4">
      <c r="A413" s="52"/>
      <c r="B413" s="52"/>
      <c r="C413" s="52"/>
      <c r="D413" s="52"/>
    </row>
    <row r="414" ht="12.5" spans="1:4">
      <c r="A414" s="52"/>
      <c r="B414" s="52"/>
      <c r="C414" s="52"/>
      <c r="D414" s="52"/>
    </row>
    <row r="415" ht="12.5" spans="1:4">
      <c r="A415" s="52"/>
      <c r="B415" s="52"/>
      <c r="C415" s="52"/>
      <c r="D415" s="52"/>
    </row>
    <row r="416" ht="12.5" spans="1:4">
      <c r="A416" s="52"/>
      <c r="B416" s="52"/>
      <c r="C416" s="52"/>
      <c r="D416" s="52"/>
    </row>
    <row r="417" ht="12.5" spans="1:4">
      <c r="A417" s="52"/>
      <c r="B417" s="52"/>
      <c r="C417" s="52"/>
      <c r="D417" s="52"/>
    </row>
    <row r="418" ht="12.5" spans="1:4">
      <c r="A418" s="52"/>
      <c r="B418" s="52"/>
      <c r="C418" s="52"/>
      <c r="D418" s="52"/>
    </row>
    <row r="419" ht="12.5" spans="1:4">
      <c r="A419" s="52"/>
      <c r="B419" s="52"/>
      <c r="C419" s="52"/>
      <c r="D419" s="52"/>
    </row>
    <row r="420" ht="12.5" spans="1:4">
      <c r="A420" s="52"/>
      <c r="B420" s="52"/>
      <c r="C420" s="52"/>
      <c r="D420" s="52"/>
    </row>
    <row r="421" ht="12.5" spans="1:4">
      <c r="A421" s="52"/>
      <c r="B421" s="52"/>
      <c r="C421" s="52"/>
      <c r="D421" s="52"/>
    </row>
    <row r="422" ht="12.5" spans="1:4">
      <c r="A422" s="52"/>
      <c r="B422" s="52"/>
      <c r="C422" s="52"/>
      <c r="D422" s="52"/>
    </row>
    <row r="423" ht="12.5" spans="1:4">
      <c r="A423" s="52"/>
      <c r="B423" s="52"/>
      <c r="C423" s="52"/>
      <c r="D423" s="52"/>
    </row>
    <row r="424" ht="12.5" spans="1:4">
      <c r="A424" s="52"/>
      <c r="B424" s="52"/>
      <c r="C424" s="52"/>
      <c r="D424" s="52"/>
    </row>
    <row r="425" ht="12.5" spans="1:4">
      <c r="A425" s="52"/>
      <c r="B425" s="52"/>
      <c r="C425" s="52"/>
      <c r="D425" s="52"/>
    </row>
    <row r="426" ht="12.5" spans="1:4">
      <c r="A426" s="52"/>
      <c r="B426" s="52"/>
      <c r="C426" s="52"/>
      <c r="D426" s="52"/>
    </row>
    <row r="427" ht="12.5" spans="1:4">
      <c r="A427" s="52"/>
      <c r="B427" s="52"/>
      <c r="C427" s="52"/>
      <c r="D427" s="52"/>
    </row>
    <row r="428" ht="12.5" spans="1:4">
      <c r="A428" s="52"/>
      <c r="B428" s="52"/>
      <c r="C428" s="52"/>
      <c r="D428" s="52"/>
    </row>
    <row r="429" ht="12.5" spans="1:4">
      <c r="A429" s="52"/>
      <c r="B429" s="52"/>
      <c r="C429" s="52"/>
      <c r="D429" s="52"/>
    </row>
    <row r="430" ht="12.5" spans="1:4">
      <c r="A430" s="52"/>
      <c r="B430" s="52"/>
      <c r="C430" s="52"/>
      <c r="D430" s="52"/>
    </row>
    <row r="431" ht="12.5" spans="1:4">
      <c r="A431" s="52"/>
      <c r="B431" s="52"/>
      <c r="C431" s="52"/>
      <c r="D431" s="52"/>
    </row>
    <row r="432" ht="12.5" spans="1:4">
      <c r="A432" s="52"/>
      <c r="B432" s="52"/>
      <c r="C432" s="52"/>
      <c r="D432" s="52"/>
    </row>
    <row r="433" ht="12.5" spans="1:4">
      <c r="A433" s="52"/>
      <c r="B433" s="52"/>
      <c r="C433" s="52"/>
      <c r="D433" s="52"/>
    </row>
    <row r="434" ht="12.5" spans="1:4">
      <c r="A434" s="52"/>
      <c r="B434" s="52"/>
      <c r="C434" s="52"/>
      <c r="D434" s="52"/>
    </row>
    <row r="435" ht="12.5" spans="1:4">
      <c r="A435" s="52"/>
      <c r="B435" s="52"/>
      <c r="C435" s="52"/>
      <c r="D435" s="52"/>
    </row>
    <row r="436" ht="12.5" spans="1:4">
      <c r="A436" s="52"/>
      <c r="B436" s="52"/>
      <c r="C436" s="52"/>
      <c r="D436" s="52"/>
    </row>
    <row r="437" ht="12.5" spans="1:4">
      <c r="A437" s="52"/>
      <c r="B437" s="52"/>
      <c r="C437" s="52"/>
      <c r="D437" s="52"/>
    </row>
    <row r="438" ht="12.5" spans="1:4">
      <c r="A438" s="52"/>
      <c r="B438" s="52"/>
      <c r="C438" s="52"/>
      <c r="D438" s="52"/>
    </row>
    <row r="439" ht="12.5" spans="1:4">
      <c r="A439" s="52"/>
      <c r="B439" s="52"/>
      <c r="C439" s="52"/>
      <c r="D439" s="52"/>
    </row>
    <row r="440" ht="12.5" spans="1:4">
      <c r="A440" s="52"/>
      <c r="B440" s="52"/>
      <c r="C440" s="52"/>
      <c r="D440" s="52"/>
    </row>
    <row r="441" ht="12.5" spans="1:4">
      <c r="A441" s="52"/>
      <c r="B441" s="52"/>
      <c r="C441" s="52"/>
      <c r="D441" s="52"/>
    </row>
    <row r="442" ht="12.5" spans="1:4">
      <c r="A442" s="52"/>
      <c r="B442" s="52"/>
      <c r="C442" s="52"/>
      <c r="D442" s="52"/>
    </row>
    <row r="443" ht="12.5" spans="1:4">
      <c r="A443" s="52"/>
      <c r="B443" s="52"/>
      <c r="C443" s="52"/>
      <c r="D443" s="52"/>
    </row>
    <row r="444" ht="12.5" spans="1:4">
      <c r="A444" s="52"/>
      <c r="B444" s="52"/>
      <c r="C444" s="52"/>
      <c r="D444" s="52"/>
    </row>
    <row r="445" ht="12.5" spans="1:4">
      <c r="A445" s="52"/>
      <c r="B445" s="52"/>
      <c r="C445" s="52"/>
      <c r="D445" s="52"/>
    </row>
    <row r="446" ht="12.5" spans="1:4">
      <c r="A446" s="52"/>
      <c r="B446" s="52"/>
      <c r="C446" s="52"/>
      <c r="D446" s="52"/>
    </row>
    <row r="447" ht="12.5" spans="1:4">
      <c r="A447" s="52"/>
      <c r="B447" s="52"/>
      <c r="C447" s="52"/>
      <c r="D447" s="52"/>
    </row>
    <row r="448" ht="12.5" spans="1:4">
      <c r="A448" s="52"/>
      <c r="B448" s="52"/>
      <c r="C448" s="52"/>
      <c r="D448" s="52"/>
    </row>
    <row r="449" ht="12.5" spans="1:4">
      <c r="A449" s="52"/>
      <c r="B449" s="52"/>
      <c r="C449" s="52"/>
      <c r="D449" s="52"/>
    </row>
    <row r="450" ht="12.5" spans="1:4">
      <c r="A450" s="52"/>
      <c r="B450" s="52"/>
      <c r="C450" s="52"/>
      <c r="D450" s="52"/>
    </row>
    <row r="451" ht="12.5" spans="1:4">
      <c r="A451" s="52"/>
      <c r="B451" s="52"/>
      <c r="C451" s="52"/>
      <c r="D451" s="52"/>
    </row>
    <row r="452" ht="12.5" spans="1:4">
      <c r="A452" s="52"/>
      <c r="B452" s="52"/>
      <c r="C452" s="52"/>
      <c r="D452" s="52"/>
    </row>
    <row r="453" ht="12.5" spans="1:4">
      <c r="A453" s="52"/>
      <c r="B453" s="52"/>
      <c r="C453" s="52"/>
      <c r="D453" s="52"/>
    </row>
    <row r="454" ht="12.5" spans="1:4">
      <c r="A454" s="52"/>
      <c r="B454" s="52"/>
      <c r="C454" s="52"/>
      <c r="D454" s="52"/>
    </row>
    <row r="455" ht="12.5" spans="1:4">
      <c r="A455" s="52"/>
      <c r="B455" s="52"/>
      <c r="C455" s="52"/>
      <c r="D455" s="52"/>
    </row>
    <row r="456" ht="12.5" spans="1:4">
      <c r="A456" s="52"/>
      <c r="B456" s="52"/>
      <c r="C456" s="52"/>
      <c r="D456" s="52"/>
    </row>
    <row r="457" ht="12.5" spans="1:4">
      <c r="A457" s="52"/>
      <c r="B457" s="52"/>
      <c r="C457" s="52"/>
      <c r="D457" s="52"/>
    </row>
    <row r="458" ht="12.5" spans="1:4">
      <c r="A458" s="52"/>
      <c r="B458" s="52"/>
      <c r="C458" s="52"/>
      <c r="D458" s="52"/>
    </row>
    <row r="459" ht="12.5" spans="1:4">
      <c r="A459" s="52"/>
      <c r="B459" s="52"/>
      <c r="C459" s="52"/>
      <c r="D459" s="52"/>
    </row>
    <row r="460" ht="12.5" spans="1:4">
      <c r="A460" s="52"/>
      <c r="B460" s="52"/>
      <c r="C460" s="52"/>
      <c r="D460" s="52"/>
    </row>
    <row r="461" ht="12.5" spans="1:4">
      <c r="A461" s="52"/>
      <c r="B461" s="52"/>
      <c r="C461" s="52"/>
      <c r="D461" s="52"/>
    </row>
    <row r="462" ht="12.5" spans="1:4">
      <c r="A462" s="52"/>
      <c r="B462" s="52"/>
      <c r="C462" s="52"/>
      <c r="D462" s="52"/>
    </row>
    <row r="463" ht="12.5" spans="1:4">
      <c r="A463" s="52"/>
      <c r="B463" s="52"/>
      <c r="C463" s="52"/>
      <c r="D463" s="52"/>
    </row>
    <row r="464" ht="12.5" spans="1:4">
      <c r="A464" s="52"/>
      <c r="B464" s="52"/>
      <c r="C464" s="52"/>
      <c r="D464" s="52"/>
    </row>
    <row r="465" ht="12.5" spans="1:4">
      <c r="A465" s="52"/>
      <c r="B465" s="52"/>
      <c r="C465" s="52"/>
      <c r="D465" s="52"/>
    </row>
    <row r="466" ht="12.5" spans="1:4">
      <c r="A466" s="52"/>
      <c r="B466" s="52"/>
      <c r="C466" s="52"/>
      <c r="D466" s="52"/>
    </row>
    <row r="467" ht="12.5" spans="1:4">
      <c r="A467" s="52"/>
      <c r="B467" s="52"/>
      <c r="C467" s="52"/>
      <c r="D467" s="52"/>
    </row>
    <row r="468" ht="12.5" spans="1:4">
      <c r="A468" s="52"/>
      <c r="B468" s="52"/>
      <c r="C468" s="52"/>
      <c r="D468" s="52"/>
    </row>
    <row r="469" ht="12.5" spans="1:4">
      <c r="A469" s="52"/>
      <c r="B469" s="52"/>
      <c r="C469" s="52"/>
      <c r="D469" s="52"/>
    </row>
    <row r="470" ht="12.5" spans="1:4">
      <c r="A470" s="52"/>
      <c r="B470" s="52"/>
      <c r="C470" s="52"/>
      <c r="D470" s="52"/>
    </row>
    <row r="471" ht="12.5" spans="1:4">
      <c r="A471" s="52"/>
      <c r="B471" s="52"/>
      <c r="C471" s="52"/>
      <c r="D471" s="52"/>
    </row>
    <row r="472" ht="12.5" spans="1:4">
      <c r="A472" s="52"/>
      <c r="B472" s="52"/>
      <c r="C472" s="52"/>
      <c r="D472" s="52"/>
    </row>
    <row r="473" ht="12.5" spans="1:4">
      <c r="A473" s="52"/>
      <c r="B473" s="52"/>
      <c r="C473" s="52"/>
      <c r="D473" s="52"/>
    </row>
    <row r="474" ht="12.5" spans="1:4">
      <c r="A474" s="52"/>
      <c r="B474" s="52"/>
      <c r="C474" s="52"/>
      <c r="D474" s="52"/>
    </row>
    <row r="475" ht="12.5" spans="1:4">
      <c r="A475" s="52"/>
      <c r="B475" s="52"/>
      <c r="C475" s="52"/>
      <c r="D475" s="52"/>
    </row>
    <row r="476" ht="12.5" spans="1:4">
      <c r="A476" s="52"/>
      <c r="B476" s="52"/>
      <c r="C476" s="52"/>
      <c r="D476" s="52"/>
    </row>
    <row r="477" ht="12.5" spans="1:4">
      <c r="A477" s="52"/>
      <c r="B477" s="52"/>
      <c r="C477" s="52"/>
      <c r="D477" s="52"/>
    </row>
    <row r="478" ht="12.5" spans="1:4">
      <c r="A478" s="52"/>
      <c r="B478" s="52"/>
      <c r="C478" s="52"/>
      <c r="D478" s="52"/>
    </row>
    <row r="479" ht="12.5" spans="1:4">
      <c r="A479" s="52"/>
      <c r="B479" s="52"/>
      <c r="C479" s="52"/>
      <c r="D479" s="52"/>
    </row>
    <row r="480" ht="12.5" spans="1:4">
      <c r="A480" s="52"/>
      <c r="B480" s="52"/>
      <c r="C480" s="52"/>
      <c r="D480" s="52"/>
    </row>
    <row r="481" ht="12.5" spans="1:4">
      <c r="A481" s="52"/>
      <c r="B481" s="52"/>
      <c r="C481" s="52"/>
      <c r="D481" s="52"/>
    </row>
    <row r="482" ht="12.5" spans="1:4">
      <c r="A482" s="52"/>
      <c r="B482" s="52"/>
      <c r="C482" s="52"/>
      <c r="D482" s="52"/>
    </row>
    <row r="483" ht="12.5" spans="1:4">
      <c r="A483" s="52"/>
      <c r="B483" s="52"/>
      <c r="C483" s="52"/>
      <c r="D483" s="52"/>
    </row>
    <row r="484" ht="12.5" spans="1:4">
      <c r="A484" s="52"/>
      <c r="B484" s="52"/>
      <c r="C484" s="52"/>
      <c r="D484" s="52"/>
    </row>
    <row r="485" ht="12.5" spans="1:4">
      <c r="A485" s="52"/>
      <c r="B485" s="52"/>
      <c r="C485" s="52"/>
      <c r="D485" s="52"/>
    </row>
    <row r="486" ht="12.5" spans="1:4">
      <c r="A486" s="52"/>
      <c r="B486" s="52"/>
      <c r="C486" s="52"/>
      <c r="D486" s="52"/>
    </row>
    <row r="487" ht="12.5" spans="1:4">
      <c r="A487" s="52"/>
      <c r="B487" s="52"/>
      <c r="C487" s="52"/>
      <c r="D487" s="52"/>
    </row>
    <row r="488" ht="12.5" spans="1:4">
      <c r="A488" s="52"/>
      <c r="B488" s="52"/>
      <c r="C488" s="52"/>
      <c r="D488" s="52"/>
    </row>
    <row r="489" ht="12.5" spans="1:4">
      <c r="A489" s="52"/>
      <c r="B489" s="52"/>
      <c r="C489" s="52"/>
      <c r="D489" s="52"/>
    </row>
    <row r="490" ht="12.5" spans="1:4">
      <c r="A490" s="52"/>
      <c r="B490" s="52"/>
      <c r="C490" s="52"/>
      <c r="D490" s="52"/>
    </row>
    <row r="491" ht="12.5" spans="1:4">
      <c r="A491" s="52"/>
      <c r="B491" s="52"/>
      <c r="C491" s="52"/>
      <c r="D491" s="52"/>
    </row>
    <row r="492" ht="12.5" spans="1:4">
      <c r="A492" s="52"/>
      <c r="B492" s="52"/>
      <c r="C492" s="52"/>
      <c r="D492" s="52"/>
    </row>
    <row r="493" ht="12.5" spans="1:4">
      <c r="A493" s="52"/>
      <c r="B493" s="52"/>
      <c r="C493" s="52"/>
      <c r="D493" s="52"/>
    </row>
    <row r="494" ht="12.5" spans="1:4">
      <c r="A494" s="52"/>
      <c r="B494" s="52"/>
      <c r="C494" s="52"/>
      <c r="D494" s="52"/>
    </row>
    <row r="495" ht="12.5" spans="1:4">
      <c r="A495" s="52"/>
      <c r="B495" s="52"/>
      <c r="C495" s="52"/>
      <c r="D495" s="52"/>
    </row>
    <row r="496" ht="12.5" spans="1:4">
      <c r="A496" s="52"/>
      <c r="B496" s="52"/>
      <c r="C496" s="52"/>
      <c r="D496" s="52"/>
    </row>
    <row r="497" ht="12.5" spans="1:4">
      <c r="A497" s="52"/>
      <c r="B497" s="52"/>
      <c r="C497" s="52"/>
      <c r="D497" s="52"/>
    </row>
    <row r="498" ht="12.5" spans="1:4">
      <c r="A498" s="52"/>
      <c r="B498" s="52"/>
      <c r="C498" s="52"/>
      <c r="D498" s="52"/>
    </row>
    <row r="499" ht="12.5" spans="1:4">
      <c r="A499" s="52"/>
      <c r="B499" s="52"/>
      <c r="C499" s="52"/>
      <c r="D499" s="52"/>
    </row>
    <row r="500" ht="12.5" spans="1:4">
      <c r="A500" s="52"/>
      <c r="B500" s="52"/>
      <c r="C500" s="52"/>
      <c r="D500" s="52"/>
    </row>
    <row r="501" ht="12.5" spans="1:4">
      <c r="A501" s="52"/>
      <c r="B501" s="52"/>
      <c r="C501" s="52"/>
      <c r="D501" s="52"/>
    </row>
    <row r="502" ht="12.5" spans="1:4">
      <c r="A502" s="52"/>
      <c r="B502" s="52"/>
      <c r="C502" s="52"/>
      <c r="D502" s="52"/>
    </row>
    <row r="503" ht="12.5" spans="1:4">
      <c r="A503" s="52"/>
      <c r="B503" s="52"/>
      <c r="C503" s="52"/>
      <c r="D503" s="52"/>
    </row>
    <row r="504" ht="12.5" spans="1:4">
      <c r="A504" s="52"/>
      <c r="B504" s="52"/>
      <c r="C504" s="52"/>
      <c r="D504" s="52"/>
    </row>
    <row r="505" ht="12.5" spans="1:4">
      <c r="A505" s="52"/>
      <c r="B505" s="52"/>
      <c r="C505" s="52"/>
      <c r="D505" s="52"/>
    </row>
    <row r="506" ht="12.5" spans="1:4">
      <c r="A506" s="52"/>
      <c r="B506" s="52"/>
      <c r="C506" s="52"/>
      <c r="D506" s="52"/>
    </row>
    <row r="507" ht="12.5" spans="1:4">
      <c r="A507" s="52"/>
      <c r="B507" s="52"/>
      <c r="C507" s="52"/>
      <c r="D507" s="52"/>
    </row>
    <row r="508" ht="12.5" spans="1:4">
      <c r="A508" s="52"/>
      <c r="B508" s="52"/>
      <c r="C508" s="52"/>
      <c r="D508" s="52"/>
    </row>
    <row r="509" ht="12.5" spans="1:4">
      <c r="A509" s="52"/>
      <c r="B509" s="52"/>
      <c r="C509" s="52"/>
      <c r="D509" s="52"/>
    </row>
    <row r="510" ht="12.5" spans="1:4">
      <c r="A510" s="52"/>
      <c r="B510" s="52"/>
      <c r="C510" s="52"/>
      <c r="D510" s="52"/>
    </row>
    <row r="511" ht="12.5" spans="1:4">
      <c r="A511" s="52"/>
      <c r="B511" s="52"/>
      <c r="C511" s="52"/>
      <c r="D511" s="52"/>
    </row>
    <row r="512" ht="12.5" spans="1:4">
      <c r="A512" s="52"/>
      <c r="B512" s="52"/>
      <c r="C512" s="52"/>
      <c r="D512" s="52"/>
    </row>
    <row r="513" ht="12.5" spans="1:4">
      <c r="A513" s="52"/>
      <c r="B513" s="52"/>
      <c r="C513" s="52"/>
      <c r="D513" s="52"/>
    </row>
    <row r="514" ht="12.5" spans="1:4">
      <c r="A514" s="52"/>
      <c r="B514" s="52"/>
      <c r="C514" s="52"/>
      <c r="D514" s="52"/>
    </row>
    <row r="515" ht="12.5" spans="1:4">
      <c r="A515" s="52"/>
      <c r="B515" s="52"/>
      <c r="C515" s="52"/>
      <c r="D515" s="52"/>
    </row>
    <row r="516" ht="12.5" spans="1:4">
      <c r="A516" s="52"/>
      <c r="B516" s="52"/>
      <c r="C516" s="52"/>
      <c r="D516" s="52"/>
    </row>
    <row r="517" ht="12.5" spans="1:4">
      <c r="A517" s="52"/>
      <c r="B517" s="52"/>
      <c r="C517" s="52"/>
      <c r="D517" s="52"/>
    </row>
    <row r="518" ht="12.5" spans="1:4">
      <c r="A518" s="52"/>
      <c r="B518" s="52"/>
      <c r="C518" s="52"/>
      <c r="D518" s="52"/>
    </row>
    <row r="519" ht="12.5" spans="1:4">
      <c r="A519" s="52"/>
      <c r="B519" s="52"/>
      <c r="C519" s="52"/>
      <c r="D519" s="52"/>
    </row>
    <row r="520" ht="12.5" spans="1:4">
      <c r="A520" s="52"/>
      <c r="B520" s="52"/>
      <c r="C520" s="52"/>
      <c r="D520" s="52"/>
    </row>
    <row r="521" ht="12.5" spans="1:4">
      <c r="A521" s="52"/>
      <c r="B521" s="52"/>
      <c r="C521" s="52"/>
      <c r="D521" s="52"/>
    </row>
    <row r="522" ht="12.5" spans="1:4">
      <c r="A522" s="52"/>
      <c r="B522" s="52"/>
      <c r="C522" s="52"/>
      <c r="D522" s="52"/>
    </row>
    <row r="523" ht="12.5" spans="1:4">
      <c r="A523" s="52"/>
      <c r="B523" s="52"/>
      <c r="C523" s="52"/>
      <c r="D523" s="52"/>
    </row>
    <row r="524" ht="12.5" spans="1:4">
      <c r="A524" s="52"/>
      <c r="B524" s="52"/>
      <c r="C524" s="52"/>
      <c r="D524" s="52"/>
    </row>
    <row r="525" ht="12.5" spans="1:4">
      <c r="A525" s="52"/>
      <c r="B525" s="52"/>
      <c r="C525" s="52"/>
      <c r="D525" s="52"/>
    </row>
    <row r="526" ht="12.5" spans="1:4">
      <c r="A526" s="52"/>
      <c r="B526" s="52"/>
      <c r="C526" s="52"/>
      <c r="D526" s="52"/>
    </row>
    <row r="527" ht="12.5" spans="1:4">
      <c r="A527" s="52"/>
      <c r="B527" s="52"/>
      <c r="C527" s="52"/>
      <c r="D527" s="52"/>
    </row>
    <row r="528" ht="12.5" spans="1:4">
      <c r="A528" s="52"/>
      <c r="B528" s="52"/>
      <c r="C528" s="52"/>
      <c r="D528" s="52"/>
    </row>
    <row r="529" ht="12.5" spans="1:4">
      <c r="A529" s="52"/>
      <c r="B529" s="52"/>
      <c r="C529" s="52"/>
      <c r="D529" s="52"/>
    </row>
    <row r="530" ht="12.5" spans="1:4">
      <c r="A530" s="52"/>
      <c r="B530" s="52"/>
      <c r="C530" s="52"/>
      <c r="D530" s="52"/>
    </row>
    <row r="531" ht="12.5" spans="1:4">
      <c r="A531" s="52"/>
      <c r="B531" s="52"/>
      <c r="C531" s="52"/>
      <c r="D531" s="52"/>
    </row>
    <row r="532" ht="12.5" spans="1:4">
      <c r="A532" s="52"/>
      <c r="B532" s="52"/>
      <c r="C532" s="52"/>
      <c r="D532" s="52"/>
    </row>
    <row r="533" ht="12.5" spans="1:4">
      <c r="A533" s="52"/>
      <c r="B533" s="52"/>
      <c r="C533" s="52"/>
      <c r="D533" s="52"/>
    </row>
    <row r="534" ht="12.5" spans="1:4">
      <c r="A534" s="52"/>
      <c r="B534" s="52"/>
      <c r="C534" s="52"/>
      <c r="D534" s="52"/>
    </row>
    <row r="535" ht="12.5" spans="1:4">
      <c r="A535" s="52"/>
      <c r="B535" s="52"/>
      <c r="C535" s="52"/>
      <c r="D535" s="52"/>
    </row>
    <row r="536" ht="12.5" spans="1:4">
      <c r="A536" s="52"/>
      <c r="B536" s="52"/>
      <c r="C536" s="52"/>
      <c r="D536" s="52"/>
    </row>
    <row r="537" ht="12.5" spans="1:4">
      <c r="A537" s="52"/>
      <c r="B537" s="52"/>
      <c r="C537" s="52"/>
      <c r="D537" s="52"/>
    </row>
    <row r="538" ht="12.5" spans="1:4">
      <c r="A538" s="52"/>
      <c r="B538" s="52"/>
      <c r="C538" s="52"/>
      <c r="D538" s="52"/>
    </row>
    <row r="539" ht="12.5" spans="1:4">
      <c r="A539" s="52"/>
      <c r="B539" s="52"/>
      <c r="C539" s="52"/>
      <c r="D539" s="52"/>
    </row>
    <row r="540" ht="12.5" spans="1:4">
      <c r="A540" s="52"/>
      <c r="B540" s="52"/>
      <c r="C540" s="52"/>
      <c r="D540" s="52"/>
    </row>
    <row r="541" ht="12.5" spans="1:4">
      <c r="A541" s="52"/>
      <c r="B541" s="52"/>
      <c r="C541" s="52"/>
      <c r="D541" s="52"/>
    </row>
    <row r="542" ht="12.5" spans="1:4">
      <c r="A542" s="52"/>
      <c r="B542" s="52"/>
      <c r="C542" s="52"/>
      <c r="D542" s="52"/>
    </row>
    <row r="543" ht="12.5" spans="1:4">
      <c r="A543" s="52"/>
      <c r="B543" s="52"/>
      <c r="C543" s="52"/>
      <c r="D543" s="52"/>
    </row>
    <row r="544" ht="12.5" spans="1:4">
      <c r="A544" s="52"/>
      <c r="B544" s="52"/>
      <c r="C544" s="52"/>
      <c r="D544" s="52"/>
    </row>
    <row r="545" ht="12.5" spans="1:4">
      <c r="A545" s="52"/>
      <c r="B545" s="52"/>
      <c r="C545" s="52"/>
      <c r="D545" s="52"/>
    </row>
    <row r="546" ht="12.5" spans="1:4">
      <c r="A546" s="52"/>
      <c r="B546" s="52"/>
      <c r="C546" s="52"/>
      <c r="D546" s="52"/>
    </row>
    <row r="547" ht="12.5" spans="1:4">
      <c r="A547" s="52"/>
      <c r="B547" s="52"/>
      <c r="C547" s="52"/>
      <c r="D547" s="52"/>
    </row>
    <row r="548" ht="12.5" spans="1:4">
      <c r="A548" s="52"/>
      <c r="B548" s="52"/>
      <c r="C548" s="52"/>
      <c r="D548" s="52"/>
    </row>
    <row r="549" ht="12.5" spans="1:4">
      <c r="A549" s="52"/>
      <c r="B549" s="52"/>
      <c r="C549" s="52"/>
      <c r="D549" s="52"/>
    </row>
    <row r="550" ht="12.5" spans="1:4">
      <c r="A550" s="52"/>
      <c r="B550" s="52"/>
      <c r="C550" s="52"/>
      <c r="D550" s="52"/>
    </row>
    <row r="551" ht="12.5" spans="1:4">
      <c r="A551" s="52"/>
      <c r="B551" s="52"/>
      <c r="C551" s="52"/>
      <c r="D551" s="52"/>
    </row>
    <row r="552" ht="12.5" spans="1:4">
      <c r="A552" s="52"/>
      <c r="B552" s="52"/>
      <c r="C552" s="52"/>
      <c r="D552" s="52"/>
    </row>
    <row r="553" ht="12.5" spans="1:4">
      <c r="A553" s="52"/>
      <c r="B553" s="52"/>
      <c r="C553" s="52"/>
      <c r="D553" s="52"/>
    </row>
    <row r="554" ht="12.5" spans="1:4">
      <c r="A554" s="52"/>
      <c r="B554" s="52"/>
      <c r="C554" s="52"/>
      <c r="D554" s="52"/>
    </row>
    <row r="555" ht="12.5" spans="1:4">
      <c r="A555" s="52"/>
      <c r="B555" s="52"/>
      <c r="C555" s="52"/>
      <c r="D555" s="52"/>
    </row>
    <row r="556" ht="12.5" spans="1:4">
      <c r="A556" s="52"/>
      <c r="B556" s="52"/>
      <c r="C556" s="52"/>
      <c r="D556" s="52"/>
    </row>
    <row r="557" ht="12.5" spans="1:4">
      <c r="A557" s="52"/>
      <c r="B557" s="52"/>
      <c r="C557" s="52"/>
      <c r="D557" s="52"/>
    </row>
    <row r="558" ht="12.5" spans="1:4">
      <c r="A558" s="52"/>
      <c r="B558" s="52"/>
      <c r="C558" s="52"/>
      <c r="D558" s="52"/>
    </row>
    <row r="559" ht="12.5" spans="1:4">
      <c r="A559" s="52"/>
      <c r="B559" s="52"/>
      <c r="C559" s="52"/>
      <c r="D559" s="52"/>
    </row>
    <row r="560" ht="12.5" spans="1:4">
      <c r="A560" s="52"/>
      <c r="B560" s="52"/>
      <c r="C560" s="52"/>
      <c r="D560" s="52"/>
    </row>
    <row r="561" ht="12.5" spans="1:4">
      <c r="A561" s="52"/>
      <c r="B561" s="52"/>
      <c r="C561" s="52"/>
      <c r="D561" s="52"/>
    </row>
    <row r="562" ht="12.5" spans="1:4">
      <c r="A562" s="52"/>
      <c r="B562" s="52"/>
      <c r="C562" s="52"/>
      <c r="D562" s="52"/>
    </row>
    <row r="563" ht="12.5" spans="1:4">
      <c r="A563" s="52"/>
      <c r="B563" s="52"/>
      <c r="C563" s="52"/>
      <c r="D563" s="52"/>
    </row>
    <row r="564" ht="12.5" spans="1:4">
      <c r="A564" s="52"/>
      <c r="B564" s="52"/>
      <c r="C564" s="52"/>
      <c r="D564" s="52"/>
    </row>
    <row r="565" ht="12.5" spans="1:4">
      <c r="A565" s="52"/>
      <c r="B565" s="52"/>
      <c r="C565" s="52"/>
      <c r="D565" s="52"/>
    </row>
    <row r="566" ht="12.5" spans="1:4">
      <c r="A566" s="52"/>
      <c r="B566" s="52"/>
      <c r="C566" s="52"/>
      <c r="D566" s="52"/>
    </row>
    <row r="567" ht="12.5" spans="1:4">
      <c r="A567" s="52"/>
      <c r="B567" s="52"/>
      <c r="C567" s="52"/>
      <c r="D567" s="52"/>
    </row>
    <row r="568" ht="12.5" spans="1:4">
      <c r="A568" s="52"/>
      <c r="B568" s="52"/>
      <c r="C568" s="52"/>
      <c r="D568" s="52"/>
    </row>
    <row r="569" ht="12.5" spans="1:4">
      <c r="A569" s="52"/>
      <c r="B569" s="52"/>
      <c r="C569" s="52"/>
      <c r="D569" s="52"/>
    </row>
    <row r="570" ht="12.5" spans="1:4">
      <c r="A570" s="52"/>
      <c r="B570" s="52"/>
      <c r="C570" s="52"/>
      <c r="D570" s="52"/>
    </row>
    <row r="571" ht="12.5" spans="1:4">
      <c r="A571" s="52"/>
      <c r="B571" s="52"/>
      <c r="C571" s="52"/>
      <c r="D571" s="52"/>
    </row>
    <row r="572" ht="12.5" spans="1:4">
      <c r="A572" s="52"/>
      <c r="B572" s="52"/>
      <c r="C572" s="52"/>
      <c r="D572" s="52"/>
    </row>
    <row r="573" ht="12.5" spans="1:4">
      <c r="A573" s="52"/>
      <c r="B573" s="52"/>
      <c r="C573" s="52"/>
      <c r="D573" s="52"/>
    </row>
    <row r="574" ht="12.5" spans="1:4">
      <c r="A574" s="52"/>
      <c r="B574" s="52"/>
      <c r="C574" s="52"/>
      <c r="D574" s="52"/>
    </row>
    <row r="575" ht="12.5" spans="1:4">
      <c r="A575" s="52"/>
      <c r="B575" s="52"/>
      <c r="C575" s="52"/>
      <c r="D575" s="52"/>
    </row>
    <row r="576" ht="12.5" spans="1:4">
      <c r="A576" s="52"/>
      <c r="B576" s="52"/>
      <c r="C576" s="52"/>
      <c r="D576" s="52"/>
    </row>
    <row r="577" ht="12.5" spans="1:4">
      <c r="A577" s="52"/>
      <c r="B577" s="52"/>
      <c r="C577" s="52"/>
      <c r="D577" s="52"/>
    </row>
    <row r="578" ht="12.5" spans="1:4">
      <c r="A578" s="52"/>
      <c r="B578" s="52"/>
      <c r="C578" s="52"/>
      <c r="D578" s="52"/>
    </row>
    <row r="579" ht="12.5" spans="1:4">
      <c r="A579" s="52"/>
      <c r="B579" s="52"/>
      <c r="C579" s="52"/>
      <c r="D579" s="52"/>
    </row>
    <row r="580" ht="12.5" spans="1:4">
      <c r="A580" s="52"/>
      <c r="B580" s="52"/>
      <c r="C580" s="52"/>
      <c r="D580" s="52"/>
    </row>
    <row r="581" ht="12.5" spans="1:4">
      <c r="A581" s="52"/>
      <c r="B581" s="52"/>
      <c r="C581" s="52"/>
      <c r="D581" s="52"/>
    </row>
    <row r="582" ht="12.5" spans="1:4">
      <c r="A582" s="52"/>
      <c r="B582" s="52"/>
      <c r="C582" s="52"/>
      <c r="D582" s="52"/>
    </row>
    <row r="583" ht="12.5" spans="1:4">
      <c r="A583" s="52"/>
      <c r="B583" s="52"/>
      <c r="C583" s="52"/>
      <c r="D583" s="52"/>
    </row>
    <row r="584" ht="12.5" spans="1:4">
      <c r="A584" s="52"/>
      <c r="B584" s="52"/>
      <c r="C584" s="52"/>
      <c r="D584" s="52"/>
    </row>
    <row r="585" ht="12.5" spans="1:4">
      <c r="A585" s="52"/>
      <c r="B585" s="52"/>
      <c r="C585" s="52"/>
      <c r="D585" s="52"/>
    </row>
    <row r="586" ht="12.5" spans="1:4">
      <c r="A586" s="52"/>
      <c r="B586" s="52"/>
      <c r="C586" s="52"/>
      <c r="D586" s="52"/>
    </row>
    <row r="587" ht="12.5" spans="1:4">
      <c r="A587" s="52"/>
      <c r="B587" s="52"/>
      <c r="C587" s="52"/>
      <c r="D587" s="52"/>
    </row>
    <row r="588" ht="12.5" spans="1:4">
      <c r="A588" s="52"/>
      <c r="B588" s="52"/>
      <c r="C588" s="52"/>
      <c r="D588" s="52"/>
    </row>
    <row r="589" ht="12.5" spans="1:4">
      <c r="A589" s="52"/>
      <c r="B589" s="52"/>
      <c r="C589" s="52"/>
      <c r="D589" s="52"/>
    </row>
    <row r="590" ht="12.5" spans="1:4">
      <c r="A590" s="52"/>
      <c r="B590" s="52"/>
      <c r="C590" s="52"/>
      <c r="D590" s="52"/>
    </row>
    <row r="591" ht="12.5" spans="1:4">
      <c r="A591" s="52"/>
      <c r="B591" s="52"/>
      <c r="C591" s="52"/>
      <c r="D591" s="52"/>
    </row>
    <row r="592" ht="12.5" spans="1:4">
      <c r="A592" s="52"/>
      <c r="B592" s="52"/>
      <c r="C592" s="52"/>
      <c r="D592" s="52"/>
    </row>
    <row r="593" ht="12.5" spans="1:4">
      <c r="A593" s="52"/>
      <c r="B593" s="52"/>
      <c r="C593" s="52"/>
      <c r="D593" s="52"/>
    </row>
    <row r="594" ht="12.5" spans="1:4">
      <c r="A594" s="52"/>
      <c r="B594" s="52"/>
      <c r="C594" s="52"/>
      <c r="D594" s="52"/>
    </row>
    <row r="595" ht="12.5" spans="1:4">
      <c r="A595" s="52"/>
      <c r="B595" s="52"/>
      <c r="C595" s="52"/>
      <c r="D595" s="52"/>
    </row>
    <row r="596" ht="12.5" spans="1:4">
      <c r="A596" s="52"/>
      <c r="B596" s="52"/>
      <c r="C596" s="52"/>
      <c r="D596" s="52"/>
    </row>
    <row r="597" ht="12.5" spans="1:4">
      <c r="A597" s="52"/>
      <c r="B597" s="52"/>
      <c r="C597" s="52"/>
      <c r="D597" s="52"/>
    </row>
    <row r="598" ht="12.5" spans="1:4">
      <c r="A598" s="52"/>
      <c r="B598" s="52"/>
      <c r="C598" s="52"/>
      <c r="D598" s="52"/>
    </row>
    <row r="599" ht="12.5" spans="1:4">
      <c r="A599" s="52"/>
      <c r="B599" s="52"/>
      <c r="C599" s="52"/>
      <c r="D599" s="52"/>
    </row>
    <row r="600" ht="12.5" spans="1:4">
      <c r="A600" s="52"/>
      <c r="B600" s="52"/>
      <c r="C600" s="52"/>
      <c r="D600" s="52"/>
    </row>
    <row r="601" ht="12.5" spans="1:4">
      <c r="A601" s="52"/>
      <c r="B601" s="52"/>
      <c r="C601" s="52"/>
      <c r="D601" s="52"/>
    </row>
    <row r="602" ht="12.5" spans="1:4">
      <c r="A602" s="52"/>
      <c r="B602" s="52"/>
      <c r="C602" s="52"/>
      <c r="D602" s="52"/>
    </row>
    <row r="603" ht="12.5" spans="1:4">
      <c r="A603" s="52"/>
      <c r="B603" s="52"/>
      <c r="C603" s="52"/>
      <c r="D603" s="52"/>
    </row>
    <row r="604" ht="12.5" spans="1:4">
      <c r="A604" s="52"/>
      <c r="B604" s="52"/>
      <c r="C604" s="52"/>
      <c r="D604" s="52"/>
    </row>
    <row r="605" ht="12.5" spans="1:4">
      <c r="A605" s="52"/>
      <c r="B605" s="52"/>
      <c r="C605" s="52"/>
      <c r="D605" s="52"/>
    </row>
    <row r="606" ht="12.5" spans="1:4">
      <c r="A606" s="52"/>
      <c r="B606" s="52"/>
      <c r="C606" s="52"/>
      <c r="D606" s="52"/>
    </row>
    <row r="607" ht="12.5" spans="1:4">
      <c r="A607" s="52"/>
      <c r="B607" s="52"/>
      <c r="C607" s="52"/>
      <c r="D607" s="52"/>
    </row>
    <row r="608" ht="12.5" spans="1:4">
      <c r="A608" s="52"/>
      <c r="B608" s="52"/>
      <c r="C608" s="52"/>
      <c r="D608" s="52"/>
    </row>
    <row r="609" ht="12.5" spans="1:4">
      <c r="A609" s="52"/>
      <c r="B609" s="52"/>
      <c r="C609" s="52"/>
      <c r="D609" s="52"/>
    </row>
    <row r="610" ht="12.5" spans="1:4">
      <c r="A610" s="52"/>
      <c r="B610" s="52"/>
      <c r="C610" s="52"/>
      <c r="D610" s="52"/>
    </row>
    <row r="611" ht="12.5" spans="1:4">
      <c r="A611" s="52"/>
      <c r="B611" s="52"/>
      <c r="C611" s="52"/>
      <c r="D611" s="52"/>
    </row>
    <row r="612" ht="12.5" spans="1:4">
      <c r="A612" s="52"/>
      <c r="B612" s="52"/>
      <c r="C612" s="52"/>
      <c r="D612" s="52"/>
    </row>
    <row r="613" ht="12.5" spans="1:4">
      <c r="A613" s="52"/>
      <c r="B613" s="52"/>
      <c r="C613" s="52"/>
      <c r="D613" s="52"/>
    </row>
    <row r="614" ht="12.5" spans="1:4">
      <c r="A614" s="52"/>
      <c r="B614" s="52"/>
      <c r="C614" s="52"/>
      <c r="D614" s="52"/>
    </row>
    <row r="615" ht="12.5" spans="1:4">
      <c r="A615" s="52"/>
      <c r="B615" s="52"/>
      <c r="C615" s="52"/>
      <c r="D615" s="52"/>
    </row>
    <row r="616" ht="12.5" spans="1:4">
      <c r="A616" s="52"/>
      <c r="B616" s="52"/>
      <c r="C616" s="52"/>
      <c r="D616" s="52"/>
    </row>
    <row r="617" ht="12.5" spans="1:4">
      <c r="A617" s="52"/>
      <c r="B617" s="52"/>
      <c r="C617" s="52"/>
      <c r="D617" s="52"/>
    </row>
    <row r="618" ht="12.5" spans="1:4">
      <c r="A618" s="52"/>
      <c r="B618" s="52"/>
      <c r="C618" s="52"/>
      <c r="D618" s="52"/>
    </row>
    <row r="619" ht="12.5" spans="1:4">
      <c r="A619" s="52"/>
      <c r="B619" s="52"/>
      <c r="C619" s="52"/>
      <c r="D619" s="52"/>
    </row>
    <row r="620" ht="12.5" spans="1:4">
      <c r="A620" s="52"/>
      <c r="B620" s="52"/>
      <c r="C620" s="52"/>
      <c r="D620" s="52"/>
    </row>
    <row r="621" ht="12.5" spans="1:4">
      <c r="A621" s="52"/>
      <c r="B621" s="52"/>
      <c r="C621" s="52"/>
      <c r="D621" s="52"/>
    </row>
    <row r="622" ht="12.5" spans="1:4">
      <c r="A622" s="52"/>
      <c r="B622" s="52"/>
      <c r="C622" s="52"/>
      <c r="D622" s="52"/>
    </row>
    <row r="623" ht="12.5" spans="1:4">
      <c r="A623" s="52"/>
      <c r="B623" s="52"/>
      <c r="C623" s="52"/>
      <c r="D623" s="52"/>
    </row>
    <row r="624" ht="12.5" spans="1:4">
      <c r="A624" s="52"/>
      <c r="B624" s="52"/>
      <c r="C624" s="52"/>
      <c r="D624" s="52"/>
    </row>
    <row r="625" ht="12.5" spans="1:4">
      <c r="A625" s="52"/>
      <c r="B625" s="52"/>
      <c r="C625" s="52"/>
      <c r="D625" s="52"/>
    </row>
    <row r="626" ht="12.5" spans="1:4">
      <c r="A626" s="52"/>
      <c r="B626" s="52"/>
      <c r="C626" s="52"/>
      <c r="D626" s="52"/>
    </row>
    <row r="627" ht="12.5" spans="1:4">
      <c r="A627" s="52"/>
      <c r="B627" s="52"/>
      <c r="C627" s="52"/>
      <c r="D627" s="52"/>
    </row>
    <row r="628" ht="12.5" spans="1:4">
      <c r="A628" s="52"/>
      <c r="B628" s="52"/>
      <c r="C628" s="52"/>
      <c r="D628" s="52"/>
    </row>
    <row r="629" ht="12.5" spans="1:4">
      <c r="A629" s="52"/>
      <c r="B629" s="52"/>
      <c r="C629" s="52"/>
      <c r="D629" s="52"/>
    </row>
    <row r="630" ht="12.5" spans="1:4">
      <c r="A630" s="52"/>
      <c r="B630" s="52"/>
      <c r="C630" s="52"/>
      <c r="D630" s="52"/>
    </row>
    <row r="631" ht="12.5" spans="1:4">
      <c r="A631" s="52"/>
      <c r="B631" s="52"/>
      <c r="C631" s="52"/>
      <c r="D631" s="52"/>
    </row>
    <row r="632" ht="12.5" spans="1:4">
      <c r="A632" s="52"/>
      <c r="B632" s="52"/>
      <c r="C632" s="52"/>
      <c r="D632" s="52"/>
    </row>
    <row r="633" ht="12.5" spans="1:4">
      <c r="A633" s="52"/>
      <c r="B633" s="52"/>
      <c r="C633" s="52"/>
      <c r="D633" s="52"/>
    </row>
    <row r="634" ht="12.5" spans="1:4">
      <c r="A634" s="52"/>
      <c r="B634" s="52"/>
      <c r="C634" s="52"/>
      <c r="D634" s="52"/>
    </row>
    <row r="635" ht="12.5" spans="1:4">
      <c r="A635" s="52"/>
      <c r="B635" s="52"/>
      <c r="C635" s="52"/>
      <c r="D635" s="52"/>
    </row>
    <row r="636" ht="12.5" spans="1:4">
      <c r="A636" s="52"/>
      <c r="B636" s="52"/>
      <c r="C636" s="52"/>
      <c r="D636" s="52"/>
    </row>
    <row r="637" ht="12.5" spans="1:4">
      <c r="A637" s="52"/>
      <c r="B637" s="52"/>
      <c r="C637" s="52"/>
      <c r="D637" s="52"/>
    </row>
    <row r="638" ht="12.5" spans="1:4">
      <c r="A638" s="52"/>
      <c r="B638" s="52"/>
      <c r="C638" s="52"/>
      <c r="D638" s="52"/>
    </row>
    <row r="639" ht="12.5" spans="1:4">
      <c r="A639" s="52"/>
      <c r="B639" s="52"/>
      <c r="C639" s="52"/>
      <c r="D639" s="52"/>
    </row>
    <row r="640" ht="12.5" spans="1:4">
      <c r="A640" s="52"/>
      <c r="B640" s="52"/>
      <c r="C640" s="52"/>
      <c r="D640" s="52"/>
    </row>
    <row r="641" ht="12.5" spans="1:4">
      <c r="A641" s="52"/>
      <c r="B641" s="52"/>
      <c r="C641" s="52"/>
      <c r="D641" s="52"/>
    </row>
    <row r="642" ht="12.5" spans="1:4">
      <c r="A642" s="52"/>
      <c r="B642" s="52"/>
      <c r="C642" s="52"/>
      <c r="D642" s="52"/>
    </row>
    <row r="643" ht="12.5" spans="1:4">
      <c r="A643" s="52"/>
      <c r="B643" s="52"/>
      <c r="C643" s="52"/>
      <c r="D643" s="52"/>
    </row>
    <row r="644" ht="12.5" spans="1:4">
      <c r="A644" s="52"/>
      <c r="B644" s="52"/>
      <c r="C644" s="52"/>
      <c r="D644" s="52"/>
    </row>
    <row r="645" ht="12.5" spans="1:4">
      <c r="A645" s="52"/>
      <c r="B645" s="52"/>
      <c r="C645" s="52"/>
      <c r="D645" s="52"/>
    </row>
    <row r="646" ht="12.5" spans="1:4">
      <c r="A646" s="52"/>
      <c r="B646" s="52"/>
      <c r="C646" s="52"/>
      <c r="D646" s="52"/>
    </row>
    <row r="647" ht="12.5" spans="1:4">
      <c r="A647" s="52"/>
      <c r="B647" s="52"/>
      <c r="C647" s="52"/>
      <c r="D647" s="52"/>
    </row>
    <row r="648" ht="12.5" spans="1:4">
      <c r="A648" s="52"/>
      <c r="B648" s="52"/>
      <c r="C648" s="52"/>
      <c r="D648" s="52"/>
    </row>
    <row r="649" ht="12.5" spans="1:4">
      <c r="A649" s="52"/>
      <c r="B649" s="52"/>
      <c r="C649" s="52"/>
      <c r="D649" s="52"/>
    </row>
    <row r="650" ht="12.5" spans="1:4">
      <c r="A650" s="52"/>
      <c r="B650" s="52"/>
      <c r="C650" s="52"/>
      <c r="D650" s="52"/>
    </row>
    <row r="651" ht="12.5" spans="1:4">
      <c r="A651" s="52"/>
      <c r="B651" s="52"/>
      <c r="C651" s="52"/>
      <c r="D651" s="52"/>
    </row>
    <row r="652" ht="12.5" spans="1:4">
      <c r="A652" s="52"/>
      <c r="B652" s="52"/>
      <c r="C652" s="52"/>
      <c r="D652" s="52"/>
    </row>
    <row r="653" ht="12.5" spans="1:4">
      <c r="A653" s="52"/>
      <c r="B653" s="52"/>
      <c r="C653" s="52"/>
      <c r="D653" s="52"/>
    </row>
    <row r="654" ht="12.5" spans="1:4">
      <c r="A654" s="52"/>
      <c r="B654" s="52"/>
      <c r="C654" s="52"/>
      <c r="D654" s="52"/>
    </row>
    <row r="655" ht="12.5" spans="1:4">
      <c r="A655" s="52"/>
      <c r="B655" s="52"/>
      <c r="C655" s="52"/>
      <c r="D655" s="52"/>
    </row>
    <row r="656" ht="12.5" spans="1:4">
      <c r="A656" s="52"/>
      <c r="B656" s="52"/>
      <c r="C656" s="52"/>
      <c r="D656" s="52"/>
    </row>
    <row r="657" ht="12.5" spans="1:4">
      <c r="A657" s="52"/>
      <c r="B657" s="52"/>
      <c r="C657" s="52"/>
      <c r="D657" s="52"/>
    </row>
    <row r="658" ht="12.5" spans="1:4">
      <c r="A658" s="52"/>
      <c r="B658" s="52"/>
      <c r="C658" s="52"/>
      <c r="D658" s="52"/>
    </row>
    <row r="659" ht="12.5" spans="1:4">
      <c r="A659" s="52"/>
      <c r="B659" s="52"/>
      <c r="C659" s="52"/>
      <c r="D659" s="52"/>
    </row>
    <row r="660" ht="12.5" spans="1:4">
      <c r="A660" s="52"/>
      <c r="B660" s="52"/>
      <c r="C660" s="52"/>
      <c r="D660" s="52"/>
    </row>
    <row r="661" ht="12.5" spans="1:4">
      <c r="A661" s="52"/>
      <c r="B661" s="52"/>
      <c r="C661" s="52"/>
      <c r="D661" s="52"/>
    </row>
    <row r="662" ht="12.5" spans="1:4">
      <c r="A662" s="52"/>
      <c r="B662" s="52"/>
      <c r="C662" s="52"/>
      <c r="D662" s="52"/>
    </row>
    <row r="663" ht="12.5" spans="1:4">
      <c r="A663" s="52"/>
      <c r="B663" s="52"/>
      <c r="C663" s="52"/>
      <c r="D663" s="52"/>
    </row>
    <row r="664" ht="12.5" spans="1:4">
      <c r="A664" s="52"/>
      <c r="B664" s="52"/>
      <c r="C664" s="52"/>
      <c r="D664" s="52"/>
    </row>
    <row r="665" ht="12.5" spans="1:4">
      <c r="A665" s="52"/>
      <c r="B665" s="52"/>
      <c r="C665" s="52"/>
      <c r="D665" s="52"/>
    </row>
    <row r="666" ht="12.5" spans="1:4">
      <c r="A666" s="52"/>
      <c r="B666" s="52"/>
      <c r="C666" s="52"/>
      <c r="D666" s="52"/>
    </row>
    <row r="667" ht="12.5" spans="1:4">
      <c r="A667" s="52"/>
      <c r="B667" s="52"/>
      <c r="C667" s="52"/>
      <c r="D667" s="52"/>
    </row>
    <row r="668" ht="12.5" spans="1:4">
      <c r="A668" s="52"/>
      <c r="B668" s="52"/>
      <c r="C668" s="52"/>
      <c r="D668" s="52"/>
    </row>
    <row r="669" ht="12.5" spans="1:4">
      <c r="A669" s="52"/>
      <c r="B669" s="52"/>
      <c r="C669" s="52"/>
      <c r="D669" s="52"/>
    </row>
    <row r="670" ht="12.5" spans="1:4">
      <c r="A670" s="52"/>
      <c r="B670" s="52"/>
      <c r="C670" s="52"/>
      <c r="D670" s="52"/>
    </row>
    <row r="671" ht="12.5" spans="1:4">
      <c r="A671" s="52"/>
      <c r="B671" s="52"/>
      <c r="C671" s="52"/>
      <c r="D671" s="52"/>
    </row>
    <row r="672" ht="12.5" spans="1:4">
      <c r="A672" s="52"/>
      <c r="B672" s="52"/>
      <c r="C672" s="52"/>
      <c r="D672" s="52"/>
    </row>
    <row r="673" ht="12.5" spans="1:4">
      <c r="A673" s="52"/>
      <c r="B673" s="52"/>
      <c r="C673" s="52"/>
      <c r="D673" s="52"/>
    </row>
    <row r="674" ht="12.5" spans="1:4">
      <c r="A674" s="52"/>
      <c r="B674" s="52"/>
      <c r="C674" s="52"/>
      <c r="D674" s="52"/>
    </row>
    <row r="675" ht="12.5" spans="1:4">
      <c r="A675" s="52"/>
      <c r="B675" s="52"/>
      <c r="C675" s="52"/>
      <c r="D675" s="52"/>
    </row>
    <row r="676" ht="12.5" spans="1:4">
      <c r="A676" s="52"/>
      <c r="B676" s="52"/>
      <c r="C676" s="52"/>
      <c r="D676" s="52"/>
    </row>
    <row r="677" ht="12.5" spans="1:4">
      <c r="A677" s="52"/>
      <c r="B677" s="52"/>
      <c r="C677" s="52"/>
      <c r="D677" s="52"/>
    </row>
    <row r="678" ht="12.5" spans="1:4">
      <c r="A678" s="52"/>
      <c r="B678" s="52"/>
      <c r="C678" s="52"/>
      <c r="D678" s="52"/>
    </row>
    <row r="679" ht="12.5" spans="1:4">
      <c r="A679" s="52"/>
      <c r="B679" s="52"/>
      <c r="C679" s="52"/>
      <c r="D679" s="52"/>
    </row>
    <row r="680" ht="12.5" spans="1:4">
      <c r="A680" s="52"/>
      <c r="B680" s="52"/>
      <c r="C680" s="52"/>
      <c r="D680" s="52"/>
    </row>
    <row r="681" ht="12.5" spans="1:4">
      <c r="A681" s="52"/>
      <c r="B681" s="52"/>
      <c r="C681" s="52"/>
      <c r="D681" s="52"/>
    </row>
    <row r="682" ht="12.5" spans="1:4">
      <c r="A682" s="52"/>
      <c r="B682" s="52"/>
      <c r="C682" s="52"/>
      <c r="D682" s="52"/>
    </row>
    <row r="683" ht="12.5" spans="1:4">
      <c r="A683" s="52"/>
      <c r="B683" s="52"/>
      <c r="C683" s="52"/>
      <c r="D683" s="52"/>
    </row>
    <row r="684" ht="12.5" spans="1:4">
      <c r="A684" s="52"/>
      <c r="B684" s="52"/>
      <c r="C684" s="52"/>
      <c r="D684" s="52"/>
    </row>
    <row r="685" ht="12.5" spans="1:4">
      <c r="A685" s="52"/>
      <c r="B685" s="52"/>
      <c r="C685" s="52"/>
      <c r="D685" s="52"/>
    </row>
    <row r="686" ht="12.5" spans="1:4">
      <c r="A686" s="52"/>
      <c r="B686" s="52"/>
      <c r="C686" s="52"/>
      <c r="D686" s="52"/>
    </row>
    <row r="687" ht="12.5" spans="1:4">
      <c r="A687" s="52"/>
      <c r="B687" s="52"/>
      <c r="C687" s="52"/>
      <c r="D687" s="52"/>
    </row>
    <row r="688" ht="12.5" spans="1:4">
      <c r="A688" s="52"/>
      <c r="B688" s="52"/>
      <c r="C688" s="52"/>
      <c r="D688" s="52"/>
    </row>
    <row r="689" ht="12.5" spans="1:4">
      <c r="A689" s="52"/>
      <c r="B689" s="52"/>
      <c r="C689" s="52"/>
      <c r="D689" s="52"/>
    </row>
    <row r="690" ht="12.5" spans="1:4">
      <c r="A690" s="52"/>
      <c r="B690" s="52"/>
      <c r="C690" s="52"/>
      <c r="D690" s="52"/>
    </row>
    <row r="691" ht="12.5" spans="1:4">
      <c r="A691" s="52"/>
      <c r="B691" s="52"/>
      <c r="C691" s="52"/>
      <c r="D691" s="52"/>
    </row>
    <row r="692" ht="12.5" spans="1:4">
      <c r="A692" s="52"/>
      <c r="B692" s="52"/>
      <c r="C692" s="52"/>
      <c r="D692" s="52"/>
    </row>
    <row r="693" ht="12.5" spans="1:4">
      <c r="A693" s="52"/>
      <c r="B693" s="52"/>
      <c r="C693" s="52"/>
      <c r="D693" s="52"/>
    </row>
    <row r="694" ht="12.5" spans="1:4">
      <c r="A694" s="52"/>
      <c r="B694" s="52"/>
      <c r="C694" s="52"/>
      <c r="D694" s="52"/>
    </row>
    <row r="695" ht="12.5" spans="1:4">
      <c r="A695" s="52"/>
      <c r="B695" s="52"/>
      <c r="C695" s="52"/>
      <c r="D695" s="52"/>
    </row>
    <row r="696" ht="12.5" spans="1:4">
      <c r="A696" s="52"/>
      <c r="B696" s="52"/>
      <c r="C696" s="52"/>
      <c r="D696" s="52"/>
    </row>
    <row r="697" ht="12.5" spans="1:4">
      <c r="A697" s="52"/>
      <c r="B697" s="52"/>
      <c r="C697" s="52"/>
      <c r="D697" s="52"/>
    </row>
    <row r="698" ht="12.5" spans="1:4">
      <c r="A698" s="52"/>
      <c r="B698" s="52"/>
      <c r="C698" s="52"/>
      <c r="D698" s="52"/>
    </row>
    <row r="699" ht="12.5" spans="1:4">
      <c r="A699" s="52"/>
      <c r="B699" s="52"/>
      <c r="C699" s="52"/>
      <c r="D699" s="52"/>
    </row>
    <row r="700" ht="12.5" spans="1:4">
      <c r="A700" s="52"/>
      <c r="B700" s="52"/>
      <c r="C700" s="52"/>
      <c r="D700" s="52"/>
    </row>
    <row r="701" ht="12.5" spans="1:4">
      <c r="A701" s="52"/>
      <c r="B701" s="52"/>
      <c r="C701" s="52"/>
      <c r="D701" s="52"/>
    </row>
    <row r="702" ht="12.5" spans="1:4">
      <c r="A702" s="52"/>
      <c r="B702" s="52"/>
      <c r="C702" s="52"/>
      <c r="D702" s="52"/>
    </row>
    <row r="703" ht="12.5" spans="1:4">
      <c r="A703" s="52"/>
      <c r="B703" s="52"/>
      <c r="C703" s="52"/>
      <c r="D703" s="52"/>
    </row>
    <row r="704" ht="12.5" spans="1:4">
      <c r="A704" s="52"/>
      <c r="B704" s="52"/>
      <c r="C704" s="52"/>
      <c r="D704" s="52"/>
    </row>
    <row r="705" ht="12.5" spans="1:4">
      <c r="A705" s="52"/>
      <c r="B705" s="52"/>
      <c r="C705" s="52"/>
      <c r="D705" s="52"/>
    </row>
    <row r="706" ht="12.5" spans="1:4">
      <c r="A706" s="52"/>
      <c r="B706" s="52"/>
      <c r="C706" s="52"/>
      <c r="D706" s="52"/>
    </row>
    <row r="707" ht="12.5" spans="1:4">
      <c r="A707" s="52"/>
      <c r="B707" s="52"/>
      <c r="C707" s="52"/>
      <c r="D707" s="52"/>
    </row>
    <row r="708" ht="12.5" spans="1:4">
      <c r="A708" s="52"/>
      <c r="B708" s="52"/>
      <c r="C708" s="52"/>
      <c r="D708" s="52"/>
    </row>
    <row r="709" ht="12.5" spans="1:4">
      <c r="A709" s="52"/>
      <c r="B709" s="52"/>
      <c r="C709" s="52"/>
      <c r="D709" s="52"/>
    </row>
    <row r="710" ht="12.5" spans="1:4">
      <c r="A710" s="52"/>
      <c r="B710" s="52"/>
      <c r="C710" s="52"/>
      <c r="D710" s="52"/>
    </row>
    <row r="711" ht="12.5" spans="1:4">
      <c r="A711" s="52"/>
      <c r="B711" s="52"/>
      <c r="C711" s="52"/>
      <c r="D711" s="52"/>
    </row>
    <row r="712" ht="12.5" spans="1:4">
      <c r="A712" s="52"/>
      <c r="B712" s="52"/>
      <c r="C712" s="52"/>
      <c r="D712" s="52"/>
    </row>
    <row r="713" ht="12.5" spans="1:4">
      <c r="A713" s="52"/>
      <c r="B713" s="52"/>
      <c r="C713" s="52"/>
      <c r="D713" s="52"/>
    </row>
    <row r="714" ht="12.5" spans="1:4">
      <c r="A714" s="52"/>
      <c r="B714" s="52"/>
      <c r="C714" s="52"/>
      <c r="D714" s="52"/>
    </row>
    <row r="715" ht="12.5" spans="1:4">
      <c r="A715" s="52"/>
      <c r="B715" s="52"/>
      <c r="C715" s="52"/>
      <c r="D715" s="52"/>
    </row>
    <row r="716" ht="12.5" spans="1:4">
      <c r="A716" s="52"/>
      <c r="B716" s="52"/>
      <c r="C716" s="52"/>
      <c r="D716" s="52"/>
    </row>
    <row r="717" ht="12.5" spans="1:4">
      <c r="A717" s="52"/>
      <c r="B717" s="52"/>
      <c r="C717" s="52"/>
      <c r="D717" s="52"/>
    </row>
    <row r="718" ht="12.5" spans="1:4">
      <c r="A718" s="52"/>
      <c r="B718" s="52"/>
      <c r="C718" s="52"/>
      <c r="D718" s="52"/>
    </row>
    <row r="719" ht="12.5" spans="1:4">
      <c r="A719" s="52"/>
      <c r="B719" s="52"/>
      <c r="C719" s="52"/>
      <c r="D719" s="52"/>
    </row>
    <row r="720" ht="12.5" spans="1:4">
      <c r="A720" s="52"/>
      <c r="B720" s="52"/>
      <c r="C720" s="52"/>
      <c r="D720" s="52"/>
    </row>
    <row r="721" ht="12.5" spans="1:4">
      <c r="A721" s="52"/>
      <c r="B721" s="52"/>
      <c r="C721" s="52"/>
      <c r="D721" s="52"/>
    </row>
    <row r="722" ht="12.5" spans="1:4">
      <c r="A722" s="52"/>
      <c r="B722" s="52"/>
      <c r="C722" s="52"/>
      <c r="D722" s="52"/>
    </row>
    <row r="723" ht="12.5" spans="1:4">
      <c r="A723" s="52"/>
      <c r="B723" s="52"/>
      <c r="C723" s="52"/>
      <c r="D723" s="52"/>
    </row>
    <row r="724" ht="12.5" spans="1:4">
      <c r="A724" s="52"/>
      <c r="B724" s="52"/>
      <c r="C724" s="52"/>
      <c r="D724" s="52"/>
    </row>
    <row r="725" ht="12.5" spans="1:4">
      <c r="A725" s="52"/>
      <c r="B725" s="52"/>
      <c r="C725" s="52"/>
      <c r="D725" s="52"/>
    </row>
    <row r="726" ht="12.5" spans="1:4">
      <c r="A726" s="52"/>
      <c r="B726" s="52"/>
      <c r="C726" s="52"/>
      <c r="D726" s="52"/>
    </row>
    <row r="727" ht="12.5" spans="1:4">
      <c r="A727" s="52"/>
      <c r="B727" s="52"/>
      <c r="C727" s="52"/>
      <c r="D727" s="52"/>
    </row>
    <row r="728" ht="12.5" spans="1:4">
      <c r="A728" s="52"/>
      <c r="B728" s="52"/>
      <c r="C728" s="52"/>
      <c r="D728" s="52"/>
    </row>
    <row r="729" ht="12.5" spans="1:4">
      <c r="A729" s="52"/>
      <c r="B729" s="52"/>
      <c r="C729" s="52"/>
      <c r="D729" s="52"/>
    </row>
    <row r="730" ht="12.5" spans="1:4">
      <c r="A730" s="52"/>
      <c r="B730" s="52"/>
      <c r="C730" s="52"/>
      <c r="D730" s="52"/>
    </row>
    <row r="731" ht="12.5" spans="1:4">
      <c r="A731" s="52"/>
      <c r="B731" s="52"/>
      <c r="C731" s="52"/>
      <c r="D731" s="52"/>
    </row>
    <row r="732" ht="12.5" spans="1:4">
      <c r="A732" s="52"/>
      <c r="B732" s="52"/>
      <c r="C732" s="52"/>
      <c r="D732" s="52"/>
    </row>
    <row r="733" ht="12.5" spans="1:4">
      <c r="A733" s="52"/>
      <c r="B733" s="52"/>
      <c r="C733" s="52"/>
      <c r="D733" s="52"/>
    </row>
    <row r="734" ht="12.5" spans="1:4">
      <c r="A734" s="52"/>
      <c r="B734" s="52"/>
      <c r="C734" s="52"/>
      <c r="D734" s="52"/>
    </row>
    <row r="735" ht="12.5" spans="1:4">
      <c r="A735" s="52"/>
      <c r="B735" s="52"/>
      <c r="C735" s="52"/>
      <c r="D735" s="52"/>
    </row>
    <row r="736" ht="12.5" spans="1:4">
      <c r="A736" s="52"/>
      <c r="B736" s="52"/>
      <c r="C736" s="52"/>
      <c r="D736" s="52"/>
    </row>
    <row r="737" ht="12.5" spans="1:4">
      <c r="A737" s="52"/>
      <c r="B737" s="52"/>
      <c r="C737" s="52"/>
      <c r="D737" s="52"/>
    </row>
    <row r="738" ht="12.5" spans="1:4">
      <c r="A738" s="52"/>
      <c r="B738" s="52"/>
      <c r="C738" s="52"/>
      <c r="D738" s="52"/>
    </row>
    <row r="739" ht="12.5" spans="1:4">
      <c r="A739" s="52"/>
      <c r="B739" s="52"/>
      <c r="C739" s="52"/>
      <c r="D739" s="52"/>
    </row>
    <row r="740" ht="12.5" spans="1:4">
      <c r="A740" s="52"/>
      <c r="B740" s="52"/>
      <c r="C740" s="52"/>
      <c r="D740" s="52"/>
    </row>
    <row r="741" ht="12.5" spans="1:4">
      <c r="A741" s="52"/>
      <c r="B741" s="52"/>
      <c r="C741" s="52"/>
      <c r="D741" s="52"/>
    </row>
    <row r="742" ht="12.5" spans="1:4">
      <c r="A742" s="52"/>
      <c r="B742" s="52"/>
      <c r="C742" s="52"/>
      <c r="D742" s="52"/>
    </row>
    <row r="743" ht="12.5" spans="1:4">
      <c r="A743" s="52"/>
      <c r="B743" s="52"/>
      <c r="C743" s="52"/>
      <c r="D743" s="52"/>
    </row>
    <row r="744" ht="12.5" spans="1:4">
      <c r="A744" s="52"/>
      <c r="B744" s="52"/>
      <c r="C744" s="52"/>
      <c r="D744" s="52"/>
    </row>
    <row r="745" ht="12.5" spans="1:4">
      <c r="A745" s="52"/>
      <c r="B745" s="52"/>
      <c r="C745" s="52"/>
      <c r="D745" s="52"/>
    </row>
    <row r="746" ht="12.5" spans="1:4">
      <c r="A746" s="52"/>
      <c r="B746" s="52"/>
      <c r="C746" s="52"/>
      <c r="D746" s="52"/>
    </row>
    <row r="747" ht="12.5" spans="1:4">
      <c r="A747" s="52"/>
      <c r="B747" s="52"/>
      <c r="C747" s="52"/>
      <c r="D747" s="52"/>
    </row>
    <row r="748" ht="12.5" spans="1:4">
      <c r="A748" s="52"/>
      <c r="B748" s="52"/>
      <c r="C748" s="52"/>
      <c r="D748" s="52"/>
    </row>
    <row r="749" ht="12.5" spans="1:4">
      <c r="A749" s="52"/>
      <c r="B749" s="52"/>
      <c r="C749" s="52"/>
      <c r="D749" s="52"/>
    </row>
    <row r="750" ht="12.5" spans="1:4">
      <c r="A750" s="52"/>
      <c r="B750" s="52"/>
      <c r="C750" s="52"/>
      <c r="D750" s="52"/>
    </row>
    <row r="751" ht="12.5" spans="1:4">
      <c r="A751" s="52"/>
      <c r="B751" s="52"/>
      <c r="C751" s="52"/>
      <c r="D751" s="52"/>
    </row>
    <row r="752" ht="12.5" spans="1:4">
      <c r="A752" s="52"/>
      <c r="B752" s="52"/>
      <c r="C752" s="52"/>
      <c r="D752" s="52"/>
    </row>
    <row r="753" ht="12.5" spans="1:4">
      <c r="A753" s="52"/>
      <c r="B753" s="52"/>
      <c r="C753" s="52"/>
      <c r="D753" s="52"/>
    </row>
    <row r="754" ht="12.5" spans="1:4">
      <c r="A754" s="52"/>
      <c r="B754" s="52"/>
      <c r="C754" s="52"/>
      <c r="D754" s="52"/>
    </row>
    <row r="755" ht="12.5" spans="1:4">
      <c r="A755" s="52"/>
      <c r="B755" s="52"/>
      <c r="C755" s="52"/>
      <c r="D755" s="52"/>
    </row>
    <row r="756" ht="12.5" spans="1:4">
      <c r="A756" s="52"/>
      <c r="B756" s="52"/>
      <c r="C756" s="52"/>
      <c r="D756" s="52"/>
    </row>
    <row r="757" ht="12.5" spans="1:4">
      <c r="A757" s="52"/>
      <c r="B757" s="52"/>
      <c r="C757" s="52"/>
      <c r="D757" s="52"/>
    </row>
    <row r="758" ht="12.5" spans="1:4">
      <c r="A758" s="52"/>
      <c r="B758" s="52"/>
      <c r="C758" s="52"/>
      <c r="D758" s="52"/>
    </row>
    <row r="759" ht="12.5" spans="1:4">
      <c r="A759" s="52"/>
      <c r="B759" s="52"/>
      <c r="C759" s="52"/>
      <c r="D759" s="52"/>
    </row>
    <row r="760" ht="12.5" spans="1:4">
      <c r="A760" s="52"/>
      <c r="B760" s="52"/>
      <c r="C760" s="52"/>
      <c r="D760" s="52"/>
    </row>
    <row r="761" ht="12.5" spans="1:4">
      <c r="A761" s="52"/>
      <c r="B761" s="52"/>
      <c r="C761" s="52"/>
      <c r="D761" s="52"/>
    </row>
    <row r="762" ht="12.5" spans="1:4">
      <c r="A762" s="52"/>
      <c r="B762" s="52"/>
      <c r="C762" s="52"/>
      <c r="D762" s="52"/>
    </row>
    <row r="763" ht="12.5" spans="1:4">
      <c r="A763" s="52"/>
      <c r="B763" s="52"/>
      <c r="C763" s="52"/>
      <c r="D763" s="52"/>
    </row>
    <row r="764" ht="12.5" spans="1:4">
      <c r="A764" s="52"/>
      <c r="B764" s="52"/>
      <c r="C764" s="52"/>
      <c r="D764" s="52"/>
    </row>
    <row r="765" ht="12.5" spans="1:4">
      <c r="A765" s="52"/>
      <c r="B765" s="52"/>
      <c r="C765" s="52"/>
      <c r="D765" s="52"/>
    </row>
    <row r="766" ht="12.5" spans="1:4">
      <c r="A766" s="52"/>
      <c r="B766" s="52"/>
      <c r="C766" s="52"/>
      <c r="D766" s="52"/>
    </row>
    <row r="767" ht="12.5" spans="1:4">
      <c r="A767" s="52"/>
      <c r="B767" s="52"/>
      <c r="C767" s="52"/>
      <c r="D767" s="52"/>
    </row>
    <row r="768" ht="12.5" spans="1:4">
      <c r="A768" s="52"/>
      <c r="B768" s="52"/>
      <c r="C768" s="52"/>
      <c r="D768" s="52"/>
    </row>
    <row r="769" ht="12.5" spans="1:4">
      <c r="A769" s="52"/>
      <c r="B769" s="52"/>
      <c r="C769" s="52"/>
      <c r="D769" s="52"/>
    </row>
    <row r="770" ht="12.5" spans="1:4">
      <c r="A770" s="52"/>
      <c r="B770" s="52"/>
      <c r="C770" s="52"/>
      <c r="D770" s="52"/>
    </row>
    <row r="771" ht="12.5" spans="1:4">
      <c r="A771" s="52"/>
      <c r="B771" s="52"/>
      <c r="C771" s="52"/>
      <c r="D771" s="52"/>
    </row>
    <row r="772" ht="12.5" spans="1:4">
      <c r="A772" s="52"/>
      <c r="B772" s="52"/>
      <c r="C772" s="52"/>
      <c r="D772" s="52"/>
    </row>
    <row r="773" ht="12.5" spans="1:4">
      <c r="A773" s="52"/>
      <c r="B773" s="52"/>
      <c r="C773" s="52"/>
      <c r="D773" s="52"/>
    </row>
    <row r="774" ht="12.5" spans="1:4">
      <c r="A774" s="52"/>
      <c r="B774" s="52"/>
      <c r="C774" s="52"/>
      <c r="D774" s="52"/>
    </row>
    <row r="775" ht="12.5" spans="1:4">
      <c r="A775" s="52"/>
      <c r="B775" s="52"/>
      <c r="C775" s="52"/>
      <c r="D775" s="52"/>
    </row>
    <row r="776" ht="12.5" spans="1:4">
      <c r="A776" s="52"/>
      <c r="B776" s="52"/>
      <c r="C776" s="52"/>
      <c r="D776" s="52"/>
    </row>
    <row r="777" ht="12.5" spans="1:4">
      <c r="A777" s="52"/>
      <c r="B777" s="52"/>
      <c r="C777" s="52"/>
      <c r="D777" s="52"/>
    </row>
    <row r="778" ht="12.5" spans="1:4">
      <c r="A778" s="52"/>
      <c r="B778" s="52"/>
      <c r="C778" s="52"/>
      <c r="D778" s="52"/>
    </row>
    <row r="779" ht="12.5" spans="1:4">
      <c r="A779" s="52"/>
      <c r="B779" s="52"/>
      <c r="C779" s="52"/>
      <c r="D779" s="52"/>
    </row>
    <row r="780" ht="12.5" spans="1:4">
      <c r="A780" s="52"/>
      <c r="B780" s="52"/>
      <c r="C780" s="52"/>
      <c r="D780" s="52"/>
    </row>
    <row r="781" ht="12.5" spans="1:4">
      <c r="A781" s="52"/>
      <c r="B781" s="52"/>
      <c r="C781" s="52"/>
      <c r="D781" s="52"/>
    </row>
    <row r="782" ht="12.5" spans="1:4">
      <c r="A782" s="52"/>
      <c r="B782" s="52"/>
      <c r="C782" s="52"/>
      <c r="D782" s="52"/>
    </row>
    <row r="783" ht="12.5" spans="1:4">
      <c r="A783" s="52"/>
      <c r="B783" s="52"/>
      <c r="C783" s="52"/>
      <c r="D783" s="52"/>
    </row>
    <row r="784" ht="12.5" spans="1:4">
      <c r="A784" s="52"/>
      <c r="B784" s="52"/>
      <c r="C784" s="52"/>
      <c r="D784" s="52"/>
    </row>
    <row r="785" ht="12.5" spans="1:4">
      <c r="A785" s="52"/>
      <c r="B785" s="52"/>
      <c r="C785" s="52"/>
      <c r="D785" s="52"/>
    </row>
    <row r="786" ht="12.5" spans="1:4">
      <c r="A786" s="52"/>
      <c r="B786" s="52"/>
      <c r="C786" s="52"/>
      <c r="D786" s="52"/>
    </row>
    <row r="787" ht="12.5" spans="1:4">
      <c r="A787" s="52"/>
      <c r="B787" s="52"/>
      <c r="C787" s="52"/>
      <c r="D787" s="52"/>
    </row>
    <row r="788" ht="12.5" spans="1:4">
      <c r="A788" s="52"/>
      <c r="B788" s="52"/>
      <c r="C788" s="52"/>
      <c r="D788" s="52"/>
    </row>
    <row r="789" ht="12.5" spans="1:4">
      <c r="A789" s="52"/>
      <c r="B789" s="52"/>
      <c r="C789" s="52"/>
      <c r="D789" s="52"/>
    </row>
    <row r="790" ht="12.5" spans="1:4">
      <c r="A790" s="52"/>
      <c r="B790" s="52"/>
      <c r="C790" s="52"/>
      <c r="D790" s="52"/>
    </row>
    <row r="791" ht="12.5" spans="1:4">
      <c r="A791" s="52"/>
      <c r="B791" s="52"/>
      <c r="C791" s="52"/>
      <c r="D791" s="52"/>
    </row>
    <row r="792" ht="12.5" spans="1:4">
      <c r="A792" s="52"/>
      <c r="B792" s="52"/>
      <c r="C792" s="52"/>
      <c r="D792" s="52"/>
    </row>
    <row r="793" ht="12.5" spans="1:4">
      <c r="A793" s="52"/>
      <c r="B793" s="52"/>
      <c r="C793" s="52"/>
      <c r="D793" s="52"/>
    </row>
    <row r="794" ht="12.5" spans="1:4">
      <c r="A794" s="52"/>
      <c r="B794" s="52"/>
      <c r="C794" s="52"/>
      <c r="D794" s="52"/>
    </row>
    <row r="795" ht="12.5" spans="1:4">
      <c r="A795" s="52"/>
      <c r="B795" s="52"/>
      <c r="C795" s="52"/>
      <c r="D795" s="52"/>
    </row>
    <row r="796" ht="12.5" spans="1:4">
      <c r="A796" s="52"/>
      <c r="B796" s="52"/>
      <c r="C796" s="52"/>
      <c r="D796" s="52"/>
    </row>
    <row r="797" ht="12.5" spans="1:4">
      <c r="A797" s="52"/>
      <c r="B797" s="52"/>
      <c r="C797" s="52"/>
      <c r="D797" s="52"/>
    </row>
    <row r="798" ht="12.5" spans="1:4">
      <c r="A798" s="52"/>
      <c r="B798" s="52"/>
      <c r="C798" s="52"/>
      <c r="D798" s="52"/>
    </row>
    <row r="799" ht="12.5" spans="1:4">
      <c r="A799" s="52"/>
      <c r="B799" s="52"/>
      <c r="C799" s="52"/>
      <c r="D799" s="52"/>
    </row>
    <row r="800" ht="12.5" spans="1:4">
      <c r="A800" s="52"/>
      <c r="B800" s="52"/>
      <c r="C800" s="52"/>
      <c r="D800" s="52"/>
    </row>
    <row r="801" ht="12.5" spans="1:4">
      <c r="A801" s="52"/>
      <c r="B801" s="52"/>
      <c r="C801" s="52"/>
      <c r="D801" s="52"/>
    </row>
    <row r="802" ht="12.5" spans="1:4">
      <c r="A802" s="52"/>
      <c r="B802" s="52"/>
      <c r="C802" s="52"/>
      <c r="D802" s="52"/>
    </row>
    <row r="803" ht="12.5" spans="1:4">
      <c r="A803" s="52"/>
      <c r="B803" s="52"/>
      <c r="C803" s="52"/>
      <c r="D803" s="52"/>
    </row>
    <row r="804" ht="12.5" spans="1:4">
      <c r="A804" s="52"/>
      <c r="B804" s="52"/>
      <c r="C804" s="52"/>
      <c r="D804" s="52"/>
    </row>
    <row r="805" ht="12.5" spans="1:4">
      <c r="A805" s="52"/>
      <c r="B805" s="52"/>
      <c r="C805" s="52"/>
      <c r="D805" s="52"/>
    </row>
    <row r="806" ht="12.5" spans="1:4">
      <c r="A806" s="52"/>
      <c r="B806" s="52"/>
      <c r="C806" s="52"/>
      <c r="D806" s="52"/>
    </row>
    <row r="807" ht="12.5" spans="1:4">
      <c r="A807" s="52"/>
      <c r="B807" s="52"/>
      <c r="C807" s="52"/>
      <c r="D807" s="52"/>
    </row>
    <row r="808" ht="12.5" spans="1:4">
      <c r="A808" s="52"/>
      <c r="B808" s="52"/>
      <c r="C808" s="52"/>
      <c r="D808" s="52"/>
    </row>
    <row r="809" ht="12.5" spans="1:4">
      <c r="A809" s="52"/>
      <c r="B809" s="52"/>
      <c r="C809" s="52"/>
      <c r="D809" s="52"/>
    </row>
    <row r="810" ht="12.5" spans="1:4">
      <c r="A810" s="52"/>
      <c r="B810" s="52"/>
      <c r="C810" s="52"/>
      <c r="D810" s="52"/>
    </row>
    <row r="811" ht="12.5" spans="1:4">
      <c r="A811" s="52"/>
      <c r="B811" s="52"/>
      <c r="C811" s="52"/>
      <c r="D811" s="52"/>
    </row>
    <row r="812" ht="12.5" spans="1:4">
      <c r="A812" s="52"/>
      <c r="B812" s="52"/>
      <c r="C812" s="52"/>
      <c r="D812" s="52"/>
    </row>
    <row r="813" ht="12.5" spans="1:4">
      <c r="A813" s="52"/>
      <c r="B813" s="52"/>
      <c r="C813" s="52"/>
      <c r="D813" s="52"/>
    </row>
    <row r="814" ht="12.5" spans="1:4">
      <c r="A814" s="52"/>
      <c r="B814" s="52"/>
      <c r="C814" s="52"/>
      <c r="D814" s="52"/>
    </row>
    <row r="815" ht="12.5" spans="1:4">
      <c r="A815" s="52"/>
      <c r="B815" s="52"/>
      <c r="C815" s="52"/>
      <c r="D815" s="52"/>
    </row>
    <row r="816" ht="12.5" spans="1:4">
      <c r="A816" s="52"/>
      <c r="B816" s="52"/>
      <c r="C816" s="52"/>
      <c r="D816" s="52"/>
    </row>
    <row r="817" ht="12.5" spans="1:4">
      <c r="A817" s="52"/>
      <c r="B817" s="52"/>
      <c r="C817" s="52"/>
      <c r="D817" s="52"/>
    </row>
    <row r="818" ht="12.5" spans="1:4">
      <c r="A818" s="52"/>
      <c r="B818" s="52"/>
      <c r="C818" s="52"/>
      <c r="D818" s="52"/>
    </row>
    <row r="819" ht="12.5" spans="1:4">
      <c r="A819" s="52"/>
      <c r="B819" s="52"/>
      <c r="C819" s="52"/>
      <c r="D819" s="52"/>
    </row>
    <row r="820" ht="12.5" spans="1:4">
      <c r="A820" s="52"/>
      <c r="B820" s="52"/>
      <c r="C820" s="52"/>
      <c r="D820" s="52"/>
    </row>
    <row r="821" ht="12.5" spans="1:4">
      <c r="A821" s="52"/>
      <c r="B821" s="52"/>
      <c r="C821" s="52"/>
      <c r="D821" s="52"/>
    </row>
    <row r="822" ht="12.5" spans="1:4">
      <c r="A822" s="52"/>
      <c r="B822" s="52"/>
      <c r="C822" s="52"/>
      <c r="D822" s="52"/>
    </row>
    <row r="823" ht="12.5" spans="1:4">
      <c r="A823" s="52"/>
      <c r="B823" s="52"/>
      <c r="C823" s="52"/>
      <c r="D823" s="52"/>
    </row>
    <row r="824" ht="12.5" spans="1:4">
      <c r="A824" s="52"/>
      <c r="B824" s="52"/>
      <c r="C824" s="52"/>
      <c r="D824" s="52"/>
    </row>
    <row r="825" ht="12.5" spans="1:4">
      <c r="A825" s="52"/>
      <c r="B825" s="52"/>
      <c r="C825" s="52"/>
      <c r="D825" s="52"/>
    </row>
    <row r="826" ht="12.5" spans="1:4">
      <c r="A826" s="52"/>
      <c r="B826" s="52"/>
      <c r="C826" s="52"/>
      <c r="D826" s="52"/>
    </row>
    <row r="827" ht="12.5" spans="1:4">
      <c r="A827" s="52"/>
      <c r="B827" s="52"/>
      <c r="C827" s="52"/>
      <c r="D827" s="52"/>
    </row>
    <row r="828" ht="12.5" spans="1:4">
      <c r="A828" s="52"/>
      <c r="B828" s="52"/>
      <c r="C828" s="52"/>
      <c r="D828" s="52"/>
    </row>
    <row r="829" ht="12.5" spans="1:4">
      <c r="A829" s="52"/>
      <c r="B829" s="52"/>
      <c r="C829" s="52"/>
      <c r="D829" s="52"/>
    </row>
    <row r="830" ht="12.5" spans="1:4">
      <c r="A830" s="52"/>
      <c r="B830" s="52"/>
      <c r="C830" s="52"/>
      <c r="D830" s="52"/>
    </row>
    <row r="831" ht="12.5" spans="1:4">
      <c r="A831" s="52"/>
      <c r="B831" s="52"/>
      <c r="C831" s="52"/>
      <c r="D831" s="52"/>
    </row>
    <row r="832" ht="12.5" spans="1:4">
      <c r="A832" s="52"/>
      <c r="B832" s="52"/>
      <c r="C832" s="52"/>
      <c r="D832" s="52"/>
    </row>
    <row r="833" ht="12.5" spans="1:4">
      <c r="A833" s="52"/>
      <c r="B833" s="52"/>
      <c r="C833" s="52"/>
      <c r="D833" s="52"/>
    </row>
    <row r="834" ht="12.5" spans="1:4">
      <c r="A834" s="52"/>
      <c r="B834" s="52"/>
      <c r="C834" s="52"/>
      <c r="D834" s="52"/>
    </row>
    <row r="835" ht="12.5" spans="1:4">
      <c r="A835" s="52"/>
      <c r="B835" s="52"/>
      <c r="C835" s="52"/>
      <c r="D835" s="52"/>
    </row>
    <row r="836" ht="12.5" spans="1:4">
      <c r="A836" s="52"/>
      <c r="B836" s="52"/>
      <c r="C836" s="52"/>
      <c r="D836" s="52"/>
    </row>
    <row r="837" ht="12.5" spans="1:4">
      <c r="A837" s="52"/>
      <c r="B837" s="52"/>
      <c r="C837" s="52"/>
      <c r="D837" s="52"/>
    </row>
    <row r="838" ht="12.5" spans="1:4">
      <c r="A838" s="52"/>
      <c r="B838" s="52"/>
      <c r="C838" s="52"/>
      <c r="D838" s="52"/>
    </row>
    <row r="839" ht="12.5" spans="1:4">
      <c r="A839" s="52"/>
      <c r="B839" s="52"/>
      <c r="C839" s="52"/>
      <c r="D839" s="52"/>
    </row>
    <row r="840" ht="12.5" spans="1:4">
      <c r="A840" s="52"/>
      <c r="B840" s="52"/>
      <c r="C840" s="52"/>
      <c r="D840" s="52"/>
    </row>
    <row r="841" ht="12.5" spans="1:4">
      <c r="A841" s="52"/>
      <c r="B841" s="52"/>
      <c r="C841" s="52"/>
      <c r="D841" s="52"/>
    </row>
    <row r="842" ht="12.5" spans="1:4">
      <c r="A842" s="52"/>
      <c r="B842" s="52"/>
      <c r="C842" s="52"/>
      <c r="D842" s="52"/>
    </row>
    <row r="843" ht="12.5" spans="1:4">
      <c r="A843" s="52"/>
      <c r="B843" s="52"/>
      <c r="C843" s="52"/>
      <c r="D843" s="52"/>
    </row>
    <row r="844" ht="12.5" spans="1:4">
      <c r="A844" s="52"/>
      <c r="B844" s="52"/>
      <c r="C844" s="52"/>
      <c r="D844" s="52"/>
    </row>
    <row r="845" ht="12.5" spans="1:4">
      <c r="A845" s="52"/>
      <c r="B845" s="52"/>
      <c r="C845" s="52"/>
      <c r="D845" s="52"/>
    </row>
    <row r="846" ht="12.5" spans="1:4">
      <c r="A846" s="52"/>
      <c r="B846" s="52"/>
      <c r="C846" s="52"/>
      <c r="D846" s="52"/>
    </row>
    <row r="847" ht="12.5" spans="1:4">
      <c r="A847" s="52"/>
      <c r="B847" s="52"/>
      <c r="C847" s="52"/>
      <c r="D847" s="52"/>
    </row>
    <row r="848" ht="12.5" spans="1:4">
      <c r="A848" s="52"/>
      <c r="B848" s="52"/>
      <c r="C848" s="52"/>
      <c r="D848" s="52"/>
    </row>
    <row r="849" ht="12.5" spans="1:4">
      <c r="A849" s="52"/>
      <c r="B849" s="52"/>
      <c r="C849" s="52"/>
      <c r="D849" s="52"/>
    </row>
    <row r="850" ht="12.5" spans="1:4">
      <c r="A850" s="52"/>
      <c r="B850" s="52"/>
      <c r="C850" s="52"/>
      <c r="D850" s="52"/>
    </row>
    <row r="851" ht="12.5" spans="1:4">
      <c r="A851" s="52"/>
      <c r="B851" s="52"/>
      <c r="C851" s="52"/>
      <c r="D851" s="52"/>
    </row>
    <row r="852" ht="12.5" spans="1:4">
      <c r="A852" s="52"/>
      <c r="B852" s="52"/>
      <c r="C852" s="52"/>
      <c r="D852" s="52"/>
    </row>
    <row r="853" ht="12.5" spans="1:4">
      <c r="A853" s="52"/>
      <c r="B853" s="52"/>
      <c r="C853" s="52"/>
      <c r="D853" s="52"/>
    </row>
    <row r="854" ht="12.5" spans="1:4">
      <c r="A854" s="52"/>
      <c r="B854" s="52"/>
      <c r="C854" s="52"/>
      <c r="D854" s="52"/>
    </row>
    <row r="855" ht="12.5" spans="1:4">
      <c r="A855" s="52"/>
      <c r="B855" s="52"/>
      <c r="C855" s="52"/>
      <c r="D855" s="52"/>
    </row>
    <row r="856" ht="12.5" spans="1:4">
      <c r="A856" s="52"/>
      <c r="B856" s="52"/>
      <c r="C856" s="52"/>
      <c r="D856" s="52"/>
    </row>
    <row r="857" ht="12.5" spans="1:4">
      <c r="A857" s="52"/>
      <c r="B857" s="52"/>
      <c r="C857" s="52"/>
      <c r="D857" s="52"/>
    </row>
    <row r="858" ht="12.5" spans="1:4">
      <c r="A858" s="52"/>
      <c r="B858" s="52"/>
      <c r="C858" s="52"/>
      <c r="D858" s="52"/>
    </row>
    <row r="859" ht="12.5" spans="1:4">
      <c r="A859" s="52"/>
      <c r="B859" s="52"/>
      <c r="C859" s="52"/>
      <c r="D859" s="52"/>
    </row>
    <row r="860" ht="12.5" spans="1:4">
      <c r="A860" s="52"/>
      <c r="B860" s="52"/>
      <c r="C860" s="52"/>
      <c r="D860" s="52"/>
    </row>
    <row r="861" ht="12.5" spans="1:4">
      <c r="A861" s="52"/>
      <c r="B861" s="52"/>
      <c r="C861" s="52"/>
      <c r="D861" s="52"/>
    </row>
    <row r="862" ht="12.5" spans="1:4">
      <c r="A862" s="52"/>
      <c r="B862" s="52"/>
      <c r="C862" s="52"/>
      <c r="D862" s="52"/>
    </row>
    <row r="863" ht="12.5" spans="1:4">
      <c r="A863" s="52"/>
      <c r="B863" s="52"/>
      <c r="C863" s="52"/>
      <c r="D863" s="52"/>
    </row>
    <row r="864" ht="12.5" spans="1:4">
      <c r="A864" s="52"/>
      <c r="B864" s="52"/>
      <c r="C864" s="52"/>
      <c r="D864" s="52"/>
    </row>
    <row r="865" ht="12.5" spans="1:4">
      <c r="A865" s="52"/>
      <c r="B865" s="52"/>
      <c r="C865" s="52"/>
      <c r="D865" s="52"/>
    </row>
    <row r="866" ht="12.5" spans="1:4">
      <c r="A866" s="52"/>
      <c r="B866" s="52"/>
      <c r="C866" s="52"/>
      <c r="D866" s="52"/>
    </row>
    <row r="867" ht="12.5" spans="1:4">
      <c r="A867" s="52"/>
      <c r="B867" s="52"/>
      <c r="C867" s="52"/>
      <c r="D867" s="52"/>
    </row>
    <row r="868" ht="12.5" spans="1:4">
      <c r="A868" s="52"/>
      <c r="B868" s="52"/>
      <c r="C868" s="52"/>
      <c r="D868" s="52"/>
    </row>
    <row r="869" ht="12.5" spans="1:4">
      <c r="A869" s="52"/>
      <c r="B869" s="52"/>
      <c r="C869" s="52"/>
      <c r="D869" s="52"/>
    </row>
    <row r="870" ht="12.5" spans="1:4">
      <c r="A870" s="52"/>
      <c r="B870" s="52"/>
      <c r="C870" s="52"/>
      <c r="D870" s="52"/>
    </row>
    <row r="871" ht="12.5" spans="1:4">
      <c r="A871" s="52"/>
      <c r="B871" s="52"/>
      <c r="C871" s="52"/>
      <c r="D871" s="52"/>
    </row>
    <row r="872" ht="12.5" spans="1:4">
      <c r="A872" s="52"/>
      <c r="B872" s="52"/>
      <c r="C872" s="52"/>
      <c r="D872" s="52"/>
    </row>
    <row r="873" ht="12.5" spans="1:4">
      <c r="A873" s="52"/>
      <c r="B873" s="52"/>
      <c r="C873" s="52"/>
      <c r="D873" s="52"/>
    </row>
    <row r="874" ht="12.5" spans="1:4">
      <c r="A874" s="52"/>
      <c r="B874" s="52"/>
      <c r="C874" s="52"/>
      <c r="D874" s="52"/>
    </row>
    <row r="875" ht="12.5" spans="1:4">
      <c r="A875" s="52"/>
      <c r="B875" s="52"/>
      <c r="C875" s="52"/>
      <c r="D875" s="52"/>
    </row>
    <row r="876" ht="12.5" spans="1:4">
      <c r="A876" s="52"/>
      <c r="B876" s="52"/>
      <c r="C876" s="52"/>
      <c r="D876" s="52"/>
    </row>
    <row r="877" ht="12.5" spans="1:4">
      <c r="A877" s="52"/>
      <c r="B877" s="52"/>
      <c r="C877" s="52"/>
      <c r="D877" s="52"/>
    </row>
    <row r="878" ht="12.5" spans="1:4">
      <c r="A878" s="52"/>
      <c r="B878" s="52"/>
      <c r="C878" s="52"/>
      <c r="D878" s="52"/>
    </row>
    <row r="879" ht="12.5" spans="1:4">
      <c r="A879" s="52"/>
      <c r="B879" s="52"/>
      <c r="C879" s="52"/>
      <c r="D879" s="52"/>
    </row>
    <row r="880" ht="12.5" spans="1:4">
      <c r="A880" s="52"/>
      <c r="B880" s="52"/>
      <c r="C880" s="52"/>
      <c r="D880" s="52"/>
    </row>
    <row r="881" ht="12.5" spans="1:4">
      <c r="A881" s="52"/>
      <c r="B881" s="52"/>
      <c r="C881" s="52"/>
      <c r="D881" s="52"/>
    </row>
    <row r="882" ht="12.5" spans="1:4">
      <c r="A882" s="52"/>
      <c r="B882" s="52"/>
      <c r="C882" s="52"/>
      <c r="D882" s="52"/>
    </row>
    <row r="883" ht="12.5" spans="1:4">
      <c r="A883" s="52"/>
      <c r="B883" s="52"/>
      <c r="C883" s="52"/>
      <c r="D883" s="52"/>
    </row>
    <row r="884" ht="12.5" spans="1:4">
      <c r="A884" s="52"/>
      <c r="B884" s="52"/>
      <c r="C884" s="52"/>
      <c r="D884" s="52"/>
    </row>
    <row r="885" ht="12.5" spans="1:4">
      <c r="A885" s="52"/>
      <c r="B885" s="52"/>
      <c r="C885" s="52"/>
      <c r="D885" s="52"/>
    </row>
    <row r="886" ht="12.5" spans="1:4">
      <c r="A886" s="52"/>
      <c r="B886" s="52"/>
      <c r="C886" s="52"/>
      <c r="D886" s="52"/>
    </row>
    <row r="887" ht="12.5" spans="1:4">
      <c r="A887" s="52"/>
      <c r="B887" s="52"/>
      <c r="C887" s="52"/>
      <c r="D887" s="52"/>
    </row>
    <row r="888" ht="12.5" spans="1:4">
      <c r="A888" s="52"/>
      <c r="B888" s="52"/>
      <c r="C888" s="52"/>
      <c r="D888" s="52"/>
    </row>
    <row r="889" ht="12.5" spans="1:4">
      <c r="A889" s="52"/>
      <c r="B889" s="52"/>
      <c r="C889" s="52"/>
      <c r="D889" s="52"/>
    </row>
    <row r="890" ht="12.5" spans="1:4">
      <c r="A890" s="52"/>
      <c r="B890" s="52"/>
      <c r="C890" s="52"/>
      <c r="D890" s="52"/>
    </row>
    <row r="891" ht="12.5" spans="1:4">
      <c r="A891" s="52"/>
      <c r="B891" s="52"/>
      <c r="C891" s="52"/>
      <c r="D891" s="52"/>
    </row>
    <row r="892" ht="12.5" spans="1:4">
      <c r="A892" s="52"/>
      <c r="B892" s="52"/>
      <c r="C892" s="52"/>
      <c r="D892" s="52"/>
    </row>
    <row r="893" ht="12.5" spans="1:4">
      <c r="A893" s="52"/>
      <c r="B893" s="52"/>
      <c r="C893" s="52"/>
      <c r="D893" s="52"/>
    </row>
    <row r="894" ht="12.5" spans="1:4">
      <c r="A894" s="52"/>
      <c r="B894" s="52"/>
      <c r="C894" s="52"/>
      <c r="D894" s="52"/>
    </row>
    <row r="895" ht="12.5" spans="1:4">
      <c r="A895" s="52"/>
      <c r="B895" s="52"/>
      <c r="C895" s="52"/>
      <c r="D895" s="52"/>
    </row>
    <row r="896" ht="12.5" spans="1:4">
      <c r="A896" s="52"/>
      <c r="B896" s="52"/>
      <c r="C896" s="52"/>
      <c r="D896" s="52"/>
    </row>
    <row r="897" ht="12.5" spans="1:4">
      <c r="A897" s="52"/>
      <c r="B897" s="52"/>
      <c r="C897" s="52"/>
      <c r="D897" s="52"/>
    </row>
    <row r="898" ht="12.5" spans="1:4">
      <c r="A898" s="52"/>
      <c r="B898" s="52"/>
      <c r="C898" s="52"/>
      <c r="D898" s="52"/>
    </row>
    <row r="899" ht="12.5" spans="1:4">
      <c r="A899" s="52"/>
      <c r="B899" s="52"/>
      <c r="C899" s="52"/>
      <c r="D899" s="52"/>
    </row>
    <row r="900" ht="12.5" spans="1:4">
      <c r="A900" s="52"/>
      <c r="B900" s="52"/>
      <c r="C900" s="52"/>
      <c r="D900" s="52"/>
    </row>
    <row r="901" ht="12.5" spans="1:4">
      <c r="A901" s="52"/>
      <c r="B901" s="52"/>
      <c r="C901" s="52"/>
      <c r="D901" s="52"/>
    </row>
    <row r="902" ht="12.5" spans="1:4">
      <c r="A902" s="52"/>
      <c r="B902" s="52"/>
      <c r="C902" s="52"/>
      <c r="D902" s="52"/>
    </row>
    <row r="903" ht="12.5" spans="1:4">
      <c r="A903" s="52"/>
      <c r="B903" s="52"/>
      <c r="C903" s="52"/>
      <c r="D903" s="52"/>
    </row>
    <row r="904" ht="12.5" spans="1:4">
      <c r="A904" s="52"/>
      <c r="B904" s="52"/>
      <c r="C904" s="52"/>
      <c r="D904" s="52"/>
    </row>
    <row r="905" ht="12.5" spans="1:4">
      <c r="A905" s="52"/>
      <c r="B905" s="52"/>
      <c r="C905" s="52"/>
      <c r="D905" s="52"/>
    </row>
    <row r="906" ht="12.5" spans="1:4">
      <c r="A906" s="52"/>
      <c r="B906" s="52"/>
      <c r="C906" s="52"/>
      <c r="D906" s="52"/>
    </row>
    <row r="907" ht="12.5" spans="1:4">
      <c r="A907" s="52"/>
      <c r="B907" s="52"/>
      <c r="C907" s="52"/>
      <c r="D907" s="52"/>
    </row>
    <row r="908" ht="12.5" spans="1:4">
      <c r="A908" s="52"/>
      <c r="B908" s="52"/>
      <c r="C908" s="52"/>
      <c r="D908" s="52"/>
    </row>
    <row r="909" ht="12.5" spans="1:4">
      <c r="A909" s="52"/>
      <c r="B909" s="52"/>
      <c r="C909" s="52"/>
      <c r="D909" s="52"/>
    </row>
    <row r="910" ht="12.5" spans="1:4">
      <c r="A910" s="52"/>
      <c r="B910" s="52"/>
      <c r="C910" s="52"/>
      <c r="D910" s="52"/>
    </row>
    <row r="911" ht="12.5" spans="1:4">
      <c r="A911" s="52"/>
      <c r="B911" s="52"/>
      <c r="C911" s="52"/>
      <c r="D911" s="52"/>
    </row>
    <row r="912" ht="12.5" spans="1:4">
      <c r="A912" s="52"/>
      <c r="B912" s="52"/>
      <c r="C912" s="52"/>
      <c r="D912" s="52"/>
    </row>
    <row r="913" ht="12.5" spans="1:4">
      <c r="A913" s="52"/>
      <c r="B913" s="52"/>
      <c r="C913" s="52"/>
      <c r="D913" s="52"/>
    </row>
    <row r="914" ht="12.5" spans="1:4">
      <c r="A914" s="52"/>
      <c r="B914" s="52"/>
      <c r="C914" s="52"/>
      <c r="D914" s="52"/>
    </row>
    <row r="915" ht="12.5" spans="1:4">
      <c r="A915" s="52"/>
      <c r="B915" s="52"/>
      <c r="C915" s="52"/>
      <c r="D915" s="52"/>
    </row>
    <row r="916" ht="12.5" spans="1:4">
      <c r="A916" s="52"/>
      <c r="B916" s="52"/>
      <c r="C916" s="52"/>
      <c r="D916" s="52"/>
    </row>
    <row r="917" ht="12.5" spans="1:4">
      <c r="A917" s="52"/>
      <c r="B917" s="52"/>
      <c r="C917" s="52"/>
      <c r="D917" s="52"/>
    </row>
    <row r="918" ht="12.5" spans="1:4">
      <c r="A918" s="52"/>
      <c r="B918" s="52"/>
      <c r="C918" s="52"/>
      <c r="D918" s="52"/>
    </row>
    <row r="919" ht="12.5" spans="1:4">
      <c r="A919" s="52"/>
      <c r="B919" s="52"/>
      <c r="C919" s="52"/>
      <c r="D919" s="52"/>
    </row>
    <row r="920" ht="12.5" spans="1:4">
      <c r="A920" s="52"/>
      <c r="B920" s="52"/>
      <c r="C920" s="52"/>
      <c r="D920" s="52"/>
    </row>
    <row r="921" ht="12.5" spans="1:4">
      <c r="A921" s="52"/>
      <c r="B921" s="52"/>
      <c r="C921" s="52"/>
      <c r="D921" s="52"/>
    </row>
    <row r="922" ht="12.5" spans="1:4">
      <c r="A922" s="52"/>
      <c r="B922" s="52"/>
      <c r="C922" s="52"/>
      <c r="D922" s="52"/>
    </row>
    <row r="923" ht="12.5" spans="1:4">
      <c r="A923" s="52"/>
      <c r="B923" s="52"/>
      <c r="C923" s="52"/>
      <c r="D923" s="52"/>
    </row>
    <row r="924" ht="12.5" spans="1:4">
      <c r="A924" s="52"/>
      <c r="B924" s="52"/>
      <c r="C924" s="52"/>
      <c r="D924" s="52"/>
    </row>
    <row r="925" ht="12.5" spans="1:4">
      <c r="A925" s="52"/>
      <c r="B925" s="52"/>
      <c r="C925" s="52"/>
      <c r="D925" s="52"/>
    </row>
    <row r="926" ht="12.5" spans="1:4">
      <c r="A926" s="52"/>
      <c r="B926" s="52"/>
      <c r="C926" s="52"/>
      <c r="D926" s="52"/>
    </row>
    <row r="927" ht="12.5" spans="1:4">
      <c r="A927" s="52"/>
      <c r="B927" s="52"/>
      <c r="C927" s="52"/>
      <c r="D927" s="52"/>
    </row>
    <row r="928" ht="12.5" spans="1:4">
      <c r="A928" s="52"/>
      <c r="B928" s="52"/>
      <c r="C928" s="52"/>
      <c r="D928" s="52"/>
    </row>
    <row r="929" ht="12.5" spans="1:4">
      <c r="A929" s="52"/>
      <c r="B929" s="52"/>
      <c r="C929" s="52"/>
      <c r="D929" s="52"/>
    </row>
    <row r="930" ht="12.5" spans="1:4">
      <c r="A930" s="52"/>
      <c r="B930" s="52"/>
      <c r="C930" s="52"/>
      <c r="D930" s="52"/>
    </row>
    <row r="931" ht="12.5" spans="1:4">
      <c r="A931" s="52"/>
      <c r="B931" s="52"/>
      <c r="C931" s="52"/>
      <c r="D931" s="52"/>
    </row>
    <row r="932" ht="12.5" spans="1:4">
      <c r="A932" s="52"/>
      <c r="B932" s="52"/>
      <c r="C932" s="52"/>
      <c r="D932" s="52"/>
    </row>
    <row r="933" ht="12.5" spans="1:4">
      <c r="A933" s="52"/>
      <c r="B933" s="52"/>
      <c r="C933" s="52"/>
      <c r="D933" s="52"/>
    </row>
    <row r="934" ht="12.5" spans="1:4">
      <c r="A934" s="52"/>
      <c r="B934" s="52"/>
      <c r="C934" s="52"/>
      <c r="D934" s="52"/>
    </row>
    <row r="935" ht="12.5" spans="1:4">
      <c r="A935" s="52"/>
      <c r="B935" s="52"/>
      <c r="C935" s="52"/>
      <c r="D935" s="52"/>
    </row>
    <row r="936" ht="12.5" spans="1:4">
      <c r="A936" s="52"/>
      <c r="B936" s="52"/>
      <c r="C936" s="52"/>
      <c r="D936" s="52"/>
    </row>
    <row r="937" ht="12.5" spans="1:4">
      <c r="A937" s="52"/>
      <c r="B937" s="52"/>
      <c r="C937" s="52"/>
      <c r="D937" s="52"/>
    </row>
    <row r="938" ht="12.5" spans="1:4">
      <c r="A938" s="52"/>
      <c r="B938" s="52"/>
      <c r="C938" s="52"/>
      <c r="D938" s="52"/>
    </row>
    <row r="939" ht="12.5" spans="1:4">
      <c r="A939" s="52"/>
      <c r="B939" s="52"/>
      <c r="C939" s="52"/>
      <c r="D939" s="52"/>
    </row>
    <row r="940" ht="12.5" spans="1:4">
      <c r="A940" s="52"/>
      <c r="B940" s="52"/>
      <c r="C940" s="52"/>
      <c r="D940" s="52"/>
    </row>
    <row r="941" ht="12.5" spans="1:4">
      <c r="A941" s="52"/>
      <c r="B941" s="52"/>
      <c r="C941" s="52"/>
      <c r="D941" s="52"/>
    </row>
    <row r="942" ht="12.5" spans="1:4">
      <c r="A942" s="52"/>
      <c r="B942" s="52"/>
      <c r="C942" s="52"/>
      <c r="D942" s="52"/>
    </row>
    <row r="943" ht="12.5" spans="1:4">
      <c r="A943" s="52"/>
      <c r="B943" s="52"/>
      <c r="C943" s="52"/>
      <c r="D943" s="52"/>
    </row>
    <row r="944" ht="12.5" spans="1:4">
      <c r="A944" s="52"/>
      <c r="B944" s="52"/>
      <c r="C944" s="52"/>
      <c r="D944" s="52"/>
    </row>
    <row r="945" ht="12.5" spans="1:4">
      <c r="A945" s="52"/>
      <c r="B945" s="52"/>
      <c r="C945" s="52"/>
      <c r="D945" s="52"/>
    </row>
    <row r="946" ht="12.5" spans="1:4">
      <c r="A946" s="52"/>
      <c r="B946" s="52"/>
      <c r="C946" s="52"/>
      <c r="D946" s="52"/>
    </row>
    <row r="947" ht="12.5" spans="1:4">
      <c r="A947" s="52"/>
      <c r="B947" s="52"/>
      <c r="C947" s="52"/>
      <c r="D947" s="52"/>
    </row>
    <row r="948" ht="12.5" spans="1:4">
      <c r="A948" s="52"/>
      <c r="B948" s="52"/>
      <c r="C948" s="52"/>
      <c r="D948" s="52"/>
    </row>
    <row r="949" ht="12.5" spans="1:4">
      <c r="A949" s="52"/>
      <c r="B949" s="52"/>
      <c r="C949" s="52"/>
      <c r="D949" s="52"/>
    </row>
    <row r="950" ht="12.5" spans="1:4">
      <c r="A950" s="52"/>
      <c r="B950" s="52"/>
      <c r="C950" s="52"/>
      <c r="D950" s="52"/>
    </row>
    <row r="951" ht="12.5" spans="1:4">
      <c r="A951" s="52"/>
      <c r="B951" s="52"/>
      <c r="C951" s="52"/>
      <c r="D951" s="52"/>
    </row>
    <row r="952" ht="12.5" spans="1:4">
      <c r="A952" s="52"/>
      <c r="B952" s="52"/>
      <c r="C952" s="52"/>
      <c r="D952" s="52"/>
    </row>
    <row r="953" ht="12.5" spans="1:4">
      <c r="A953" s="52"/>
      <c r="B953" s="52"/>
      <c r="C953" s="52"/>
      <c r="D953" s="52"/>
    </row>
    <row r="954" ht="12.5" spans="1:4">
      <c r="A954" s="52"/>
      <c r="B954" s="52"/>
      <c r="C954" s="52"/>
      <c r="D954" s="52"/>
    </row>
    <row r="955" ht="12.5" spans="1:4">
      <c r="A955" s="52"/>
      <c r="B955" s="52"/>
      <c r="C955" s="52"/>
      <c r="D955" s="52"/>
    </row>
    <row r="956" ht="12.5" spans="1:4">
      <c r="A956" s="52"/>
      <c r="B956" s="52"/>
      <c r="C956" s="52"/>
      <c r="D956" s="52"/>
    </row>
    <row r="957" ht="12.5" spans="1:4">
      <c r="A957" s="52"/>
      <c r="B957" s="52"/>
      <c r="C957" s="52"/>
      <c r="D957" s="52"/>
    </row>
    <row r="958" ht="12.5" spans="1:4">
      <c r="A958" s="52"/>
      <c r="B958" s="52"/>
      <c r="C958" s="52"/>
      <c r="D958" s="52"/>
    </row>
    <row r="959" ht="12.5" spans="1:4">
      <c r="A959" s="52"/>
      <c r="B959" s="52"/>
      <c r="C959" s="52"/>
      <c r="D959" s="52"/>
    </row>
    <row r="960" ht="12.5" spans="1:4">
      <c r="A960" s="52"/>
      <c r="B960" s="52"/>
      <c r="C960" s="52"/>
      <c r="D960" s="52"/>
    </row>
    <row r="961" ht="12.5" spans="1:4">
      <c r="A961" s="52"/>
      <c r="B961" s="52"/>
      <c r="C961" s="52"/>
      <c r="D961" s="52"/>
    </row>
    <row r="962" ht="12.5" spans="1:4">
      <c r="A962" s="52"/>
      <c r="B962" s="52"/>
      <c r="C962" s="52"/>
      <c r="D962" s="52"/>
    </row>
    <row r="963" ht="12.5" spans="1:4">
      <c r="A963" s="52"/>
      <c r="B963" s="52"/>
      <c r="C963" s="52"/>
      <c r="D963" s="52"/>
    </row>
    <row r="964" ht="12.5" spans="1:4">
      <c r="A964" s="52"/>
      <c r="B964" s="52"/>
      <c r="C964" s="52"/>
      <c r="D964" s="52"/>
    </row>
    <row r="965" ht="12.5" spans="1:4">
      <c r="A965" s="52"/>
      <c r="B965" s="52"/>
      <c r="C965" s="52"/>
      <c r="D965" s="52"/>
    </row>
    <row r="966" ht="12.5" spans="1:4">
      <c r="A966" s="52"/>
      <c r="B966" s="52"/>
      <c r="C966" s="52"/>
      <c r="D966" s="52"/>
    </row>
    <row r="967" ht="12.5" spans="1:4">
      <c r="A967" s="52"/>
      <c r="B967" s="52"/>
      <c r="C967" s="52"/>
      <c r="D967" s="52"/>
    </row>
    <row r="968" ht="12.5" spans="1:4">
      <c r="A968" s="52"/>
      <c r="B968" s="52"/>
      <c r="C968" s="52"/>
      <c r="D968" s="52"/>
    </row>
    <row r="969" ht="12.5" spans="1:4">
      <c r="A969" s="52"/>
      <c r="B969" s="52"/>
      <c r="C969" s="52"/>
      <c r="D969" s="52"/>
    </row>
    <row r="970" ht="12.5" spans="1:4">
      <c r="A970" s="52"/>
      <c r="B970" s="52"/>
      <c r="C970" s="52"/>
      <c r="D970" s="52"/>
    </row>
    <row r="971" ht="12.5" spans="1:4">
      <c r="A971" s="52"/>
      <c r="B971" s="52"/>
      <c r="C971" s="52"/>
      <c r="D971" s="52"/>
    </row>
    <row r="972" ht="12.5" spans="1:4">
      <c r="A972" s="52"/>
      <c r="B972" s="52"/>
      <c r="C972" s="52"/>
      <c r="D972" s="52"/>
    </row>
    <row r="973" ht="12.5" spans="1:4">
      <c r="A973" s="52"/>
      <c r="B973" s="52"/>
      <c r="C973" s="52"/>
      <c r="D973" s="52"/>
    </row>
    <row r="974" ht="12.5" spans="1:4">
      <c r="A974" s="52"/>
      <c r="B974" s="52"/>
      <c r="C974" s="52"/>
      <c r="D974" s="52"/>
    </row>
    <row r="975" ht="12.5" spans="1:4">
      <c r="A975" s="52"/>
      <c r="B975" s="52"/>
      <c r="C975" s="52"/>
      <c r="D975" s="52"/>
    </row>
    <row r="976" ht="12.5" spans="1:4">
      <c r="A976" s="52"/>
      <c r="B976" s="52"/>
      <c r="C976" s="52"/>
      <c r="D976" s="52"/>
    </row>
    <row r="977" ht="12.5" spans="1:4">
      <c r="A977" s="52"/>
      <c r="B977" s="52"/>
      <c r="C977" s="52"/>
      <c r="D977" s="52"/>
    </row>
    <row r="978" ht="12.5" spans="1:4">
      <c r="A978" s="52"/>
      <c r="B978" s="52"/>
      <c r="C978" s="52"/>
      <c r="D978" s="52"/>
    </row>
    <row r="979" ht="12.5" spans="1:4">
      <c r="A979" s="52"/>
      <c r="B979" s="52"/>
      <c r="C979" s="52"/>
      <c r="D979" s="52"/>
    </row>
    <row r="980" ht="12.5" spans="1:4">
      <c r="A980" s="52"/>
      <c r="B980" s="52"/>
      <c r="C980" s="52"/>
      <c r="D980" s="52"/>
    </row>
    <row r="981" ht="12.5" spans="1:4">
      <c r="A981" s="52"/>
      <c r="B981" s="52"/>
      <c r="C981" s="52"/>
      <c r="D981" s="52"/>
    </row>
    <row r="982" ht="12.5" spans="1:4">
      <c r="A982" s="52"/>
      <c r="B982" s="52"/>
      <c r="C982" s="52"/>
      <c r="D982" s="52"/>
    </row>
    <row r="983" ht="12.5" spans="1:4">
      <c r="A983" s="52"/>
      <c r="B983" s="52"/>
      <c r="C983" s="52"/>
      <c r="D983" s="52"/>
    </row>
    <row r="984" ht="12.5" spans="1:4">
      <c r="A984" s="52"/>
      <c r="B984" s="52"/>
      <c r="C984" s="52"/>
      <c r="D984" s="52"/>
    </row>
    <row r="985" ht="12.5" spans="1:4">
      <c r="A985" s="52"/>
      <c r="B985" s="52"/>
      <c r="C985" s="52"/>
      <c r="D985" s="52"/>
    </row>
    <row r="986" ht="12.5" spans="1:4">
      <c r="A986" s="52"/>
      <c r="B986" s="52"/>
      <c r="C986" s="52"/>
      <c r="D986" s="52"/>
    </row>
    <row r="987" ht="12.5" spans="1:4">
      <c r="A987" s="52"/>
      <c r="B987" s="52"/>
      <c r="C987" s="52"/>
      <c r="D987" s="52"/>
    </row>
    <row r="988" ht="12.5" spans="1:4">
      <c r="A988" s="52"/>
      <c r="B988" s="52"/>
      <c r="C988" s="52"/>
      <c r="D988" s="52"/>
    </row>
    <row r="989" ht="12.5" spans="1:4">
      <c r="A989" s="52"/>
      <c r="B989" s="52"/>
      <c r="C989" s="52"/>
      <c r="D989" s="52"/>
    </row>
    <row r="990" ht="12.5" spans="1:4">
      <c r="A990" s="52"/>
      <c r="B990" s="52"/>
      <c r="C990" s="52"/>
      <c r="D990" s="52"/>
    </row>
    <row r="991" ht="12.5" spans="1:4">
      <c r="A991" s="52"/>
      <c r="B991" s="52"/>
      <c r="C991" s="52"/>
      <c r="D991" s="52"/>
    </row>
    <row r="992" ht="12.5" spans="1:4">
      <c r="A992" s="52"/>
      <c r="B992" s="52"/>
      <c r="C992" s="52"/>
      <c r="D992" s="52"/>
    </row>
    <row r="993" ht="12.5" spans="1:4">
      <c r="A993" s="52"/>
      <c r="B993" s="52"/>
      <c r="C993" s="52"/>
      <c r="D993" s="52"/>
    </row>
    <row r="994" ht="12.5" spans="1:4">
      <c r="A994" s="52"/>
      <c r="B994" s="52"/>
      <c r="C994" s="52"/>
      <c r="D994" s="52"/>
    </row>
    <row r="995" ht="12.5" spans="1:4">
      <c r="A995" s="52"/>
      <c r="B995" s="52"/>
      <c r="C995" s="52"/>
      <c r="D995" s="52"/>
    </row>
    <row r="996" ht="12.5" spans="1:4">
      <c r="A996" s="52"/>
      <c r="B996" s="52"/>
      <c r="C996" s="52"/>
      <c r="D996" s="52"/>
    </row>
  </sheetData>
  <hyperlinks>
    <hyperlink ref="G1" r:id="rId1" location="gid=2099665394" display="https://docs.google.com/spreadsheets/d/1570S5fPNfBQDclqog0S0ny63ZzG4VVHsYJYIgb61nT4/edit#gid=2099665394"/>
  </hyperlinks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3" master="" otherUserPermission="visible"/>
  <rangeList sheetStid="4" master="" otherUserPermission="visible"/>
  <rangeList sheetStid="5" master="" otherUserPermission="visible"/>
  <rangeList sheetStid="6" master="" otherUserPermission="visible"/>
  <rangeList sheetStid="7" master="" otherUserPermission="visible"/>
  <rangeList sheetStid="8" master="" otherUserPermission="visible">
    <arrUserId title="区域1" rangeCreator="" othersAccessPermission="edit"/>
  </rangeList>
  <rangeList sheetStid="10" master="" otherUserPermission="visible"/>
  <rangeList sheetStid="11" master="" otherUserPermission="visible"/>
  <rangeList sheetStid="12" master="" otherUserPermission="visible"/>
  <rangeList sheetStid="16" master="" otherUserPermission="visible"/>
  <rangeList sheetStid="1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basic成本核算-人字拖</vt:lpstr>
      <vt:lpstr>basic项目实例-USB</vt:lpstr>
      <vt:lpstr>basic项目实例-V9</vt:lpstr>
      <vt:lpstr>To be filled by Nicole</vt:lpstr>
      <vt:lpstr>Sheet13</vt:lpstr>
      <vt:lpstr>To be filled by countries</vt:lpstr>
      <vt:lpstr>Formula</vt:lpstr>
      <vt:lpstr>raw-perf L4W</vt:lpstr>
      <vt:lpstr>visibility</vt:lpstr>
      <vt:lpstr>Formulas</vt:lpstr>
      <vt:lpstr>shipping cost calculated by kam</vt:lpstr>
      <vt:lpstr>for guixia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Kakie Lu</dc:creator>
  <cp:lastModifiedBy>寐里</cp:lastModifiedBy>
  <dcterms:created xsi:type="dcterms:W3CDTF">2024-07-22T07:44:00Z</dcterms:created>
  <dcterms:modified xsi:type="dcterms:W3CDTF">2025-01-02T02:45:21Z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8F542FD7D8744C72A19C2E61535C9052_13</vt:lpwstr>
  </property>
  <property fmtid="{D5CDD505-2E9C-101B-9397-08002B2CF9AE}" pid="3" name="KSOProductBuildVer">
    <vt:lpwstr>2052-12.1.0.19770</vt:lpwstr>
  </property>
</Properties>
</file>